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2CD1238B-3063-4946-A216-A9995880B5A9}" xr6:coauthVersionLast="47" xr6:coauthVersionMax="47" xr10:uidLastSave="{00000000-0000-0000-0000-000000000000}"/>
  <bookViews>
    <workbookView xWindow="-120" yWindow="-120" windowWidth="29040" windowHeight="17520" tabRatio="898" xr2:uid="{36C14693-8114-434F-A87C-87301FC0D75B}"/>
  </bookViews>
  <sheets>
    <sheet name="Capacity_Factors" sheetId="4" r:id="rId1"/>
    <sheet name="Generation_Storages_Electrolyse" sheetId="3" r:id="rId2"/>
    <sheet name="SMR_&amp;_Liquefaction_Plant" sheetId="5" r:id="rId3"/>
    <sheet name="Ammonia_Facility" sheetId="7" r:id="rId4"/>
    <sheet name="Water_Treatment" sheetId="6" r:id="rId5"/>
    <sheet name="Hydrogen_Storage" sheetId="8" r:id="rId6"/>
    <sheet name="Biogas Digestors" sheetId="9" r:id="rId7"/>
    <sheet name="Biodiesel Production" sheetId="10" r:id="rId8"/>
    <sheet name="Biomass Generation" sheetId="11" r:id="rId9"/>
  </sheets>
  <definedNames>
    <definedName name="_xlnm._FilterDatabase" localSheetId="1" hidden="1">Generation_Storages_Electrolyse!$A$2:$CB$62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7" i="3" l="1"/>
  <c r="BU26" i="3"/>
  <c r="BU25" i="3"/>
  <c r="AK12" i="3"/>
  <c r="CB58" i="3" l="1"/>
  <c r="BZ58" i="3"/>
  <c r="BN58" i="3"/>
  <c r="BJ58" i="3"/>
  <c r="BH58" i="3"/>
  <c r="BI47" i="3" l="1"/>
  <c r="BI48" i="3"/>
  <c r="BI49" i="3"/>
  <c r="BI46" i="3"/>
  <c r="BR5" i="11" l="1"/>
  <c r="BE50" i="3"/>
  <c r="K8" i="5" l="1"/>
  <c r="G9" i="5"/>
  <c r="K9" i="5"/>
  <c r="G4" i="5"/>
  <c r="G5" i="5"/>
  <c r="G6" i="5"/>
  <c r="G7" i="5"/>
  <c r="G8" i="5"/>
  <c r="F8" i="5"/>
  <c r="BY44" i="3" l="1"/>
  <c r="BY43" i="3"/>
  <c r="BY38" i="3"/>
  <c r="BY37" i="3"/>
  <c r="BY39" i="3"/>
  <c r="BY40" i="3"/>
  <c r="BY41" i="3"/>
  <c r="BY42" i="3"/>
  <c r="BY36" i="3"/>
  <c r="BY35" i="3"/>
  <c r="BY34" i="3"/>
  <c r="BY33" i="3"/>
  <c r="BY45" i="3"/>
  <c r="BH43" i="3"/>
  <c r="BH44" i="3"/>
  <c r="BH38" i="3"/>
  <c r="BH37" i="3"/>
  <c r="BH39" i="3"/>
  <c r="BH40" i="3"/>
  <c r="BJ40" i="3" s="1"/>
  <c r="BH41" i="3"/>
  <c r="BI41" i="3" s="1"/>
  <c r="BH42" i="3"/>
  <c r="BJ42" i="3" s="1"/>
  <c r="BH36" i="3"/>
  <c r="BN36" i="3" s="1"/>
  <c r="BH35" i="3"/>
  <c r="BN35" i="3" s="1"/>
  <c r="BH34" i="3"/>
  <c r="BH33" i="3"/>
  <c r="AX45" i="3"/>
  <c r="AX42" i="3"/>
  <c r="AX41" i="3"/>
  <c r="AX40" i="3"/>
  <c r="AX39" i="3"/>
  <c r="AX36" i="3"/>
  <c r="AX35" i="3"/>
  <c r="AX34" i="3"/>
  <c r="AX33" i="3"/>
  <c r="BI33" i="3" l="1"/>
  <c r="BN33" i="3"/>
  <c r="BJ34" i="3"/>
  <c r="BN34" i="3"/>
  <c r="BI34" i="3"/>
  <c r="BI39" i="3"/>
  <c r="BJ39" i="3"/>
  <c r="BN37" i="3"/>
  <c r="BI37" i="3"/>
  <c r="BJ37" i="3"/>
  <c r="BJ38" i="3"/>
  <c r="BN38" i="3"/>
  <c r="BI38" i="3"/>
  <c r="BJ44" i="3"/>
  <c r="BN44" i="3"/>
  <c r="BJ43" i="3"/>
  <c r="BN43" i="3"/>
  <c r="BI36" i="3"/>
  <c r="BN42" i="3"/>
  <c r="BN41" i="3"/>
  <c r="BJ35" i="3"/>
  <c r="BI44" i="3"/>
  <c r="BJ36" i="3"/>
  <c r="BI43" i="3"/>
  <c r="BN40" i="3"/>
  <c r="BI35" i="3"/>
  <c r="BI42" i="3"/>
  <c r="BJ33" i="3"/>
  <c r="BN39" i="3"/>
  <c r="BI40" i="3"/>
  <c r="BJ41" i="3"/>
  <c r="BZ59" i="3"/>
  <c r="BZ60" i="3" l="1"/>
  <c r="CC60" i="3"/>
  <c r="CC59" i="3"/>
  <c r="BH60" i="3"/>
  <c r="BI60" i="3" s="1"/>
  <c r="BH59" i="3"/>
  <c r="BI59" i="3" l="1"/>
  <c r="BJ59" i="3"/>
  <c r="BN59" i="3"/>
  <c r="BJ60" i="3"/>
  <c r="BN60" i="3" s="1"/>
  <c r="BJ61" i="3" l="1"/>
  <c r="BH61" i="3"/>
  <c r="BI61" i="3" s="1"/>
  <c r="BH62" i="3"/>
  <c r="BI62" i="3" s="1"/>
  <c r="BM58" i="3"/>
  <c r="BI58" i="3"/>
  <c r="BN5" i="10"/>
  <c r="BJ5" i="10"/>
  <c r="BH5" i="10"/>
  <c r="BM5" i="10" s="1"/>
  <c r="BN5" i="11"/>
  <c r="BM6" i="9"/>
  <c r="BI6" i="9"/>
  <c r="BH5" i="9"/>
  <c r="BI5" i="9" s="1"/>
  <c r="BH57" i="3"/>
  <c r="BI57" i="3" s="1"/>
  <c r="BH56" i="3"/>
  <c r="BI56" i="3" s="1"/>
  <c r="BH55" i="3"/>
  <c r="BI55" i="3" s="1"/>
  <c r="BZ54" i="3"/>
  <c r="BF54" i="3"/>
  <c r="CC54" i="3" s="1"/>
  <c r="BM61" i="3" l="1"/>
  <c r="BM62" i="3"/>
  <c r="BI5" i="10"/>
  <c r="BG54" i="3"/>
  <c r="BE53" i="3" l="1"/>
  <c r="BE52" i="3"/>
  <c r="BE51" i="3"/>
  <c r="BU32" i="3"/>
  <c r="BU31" i="3"/>
  <c r="BU30" i="3"/>
  <c r="BU29" i="3"/>
  <c r="BU28" i="3"/>
  <c r="F28" i="3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D7" i="4"/>
  <c r="E7" i="4"/>
  <c r="F7" i="4"/>
  <c r="G7" i="4"/>
  <c r="H7" i="4"/>
  <c r="I7" i="4"/>
  <c r="J7" i="4"/>
  <c r="K7" i="4"/>
  <c r="L7" i="4"/>
  <c r="M7" i="4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C7" i="4"/>
  <c r="C6" i="4"/>
  <c r="W5" i="4"/>
  <c r="X5" i="4" s="1"/>
  <c r="Y5" i="4" s="1"/>
  <c r="Z5" i="4" s="1"/>
  <c r="AA5" i="4" s="1"/>
  <c r="AB5" i="4" s="1"/>
  <c r="V5" i="4"/>
  <c r="D5" i="4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C5" i="4"/>
  <c r="BR49" i="3" l="1"/>
  <c r="BU49" i="3" s="1"/>
  <c r="BR48" i="3"/>
  <c r="BH30" i="3"/>
  <c r="BJ30" i="3" s="1"/>
  <c r="BH31" i="3"/>
  <c r="BN31" i="3" s="1"/>
  <c r="BH32" i="3"/>
  <c r="BN32" i="3" s="1"/>
  <c r="BH29" i="3"/>
  <c r="AW32" i="3"/>
  <c r="AX32" i="3" s="1"/>
  <c r="AW31" i="3"/>
  <c r="AX31" i="3" s="1"/>
  <c r="AW30" i="3"/>
  <c r="AX30" i="3" s="1"/>
  <c r="AW29" i="3"/>
  <c r="AX29" i="3" s="1"/>
  <c r="AU30" i="3"/>
  <c r="AU31" i="3"/>
  <c r="AU32" i="3"/>
  <c r="AU29" i="3"/>
  <c r="F30" i="3"/>
  <c r="H30" i="3" s="1"/>
  <c r="F31" i="3"/>
  <c r="I31" i="3" s="1"/>
  <c r="F32" i="3"/>
  <c r="H32" i="3" s="1"/>
  <c r="F29" i="3"/>
  <c r="H29" i="3" s="1"/>
  <c r="BN29" i="3" l="1"/>
  <c r="BJ29" i="3"/>
  <c r="BU48" i="3"/>
  <c r="BT48" i="3"/>
  <c r="I30" i="3"/>
  <c r="BS49" i="3"/>
  <c r="BS48" i="3"/>
  <c r="BT49" i="3"/>
  <c r="BM31" i="3"/>
  <c r="BI31" i="3" s="1"/>
  <c r="I32" i="3"/>
  <c r="BJ31" i="3"/>
  <c r="BM29" i="3"/>
  <c r="BI29" i="3" s="1"/>
  <c r="H31" i="3"/>
  <c r="BM32" i="3"/>
  <c r="BI32" i="3" s="1"/>
  <c r="I29" i="3"/>
  <c r="BJ32" i="3"/>
  <c r="BM30" i="3"/>
  <c r="BI30" i="3" s="1"/>
  <c r="BN30" i="3"/>
  <c r="I28" i="3"/>
  <c r="H28" i="3"/>
</calcChain>
</file>

<file path=xl/sharedStrings.xml><?xml version="1.0" encoding="utf-8"?>
<sst xmlns="http://schemas.openxmlformats.org/spreadsheetml/2006/main" count="1543" uniqueCount="418">
  <si>
    <t>Technology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</si>
  <si>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</si>
  <si>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</si>
  <si>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</si>
  <si>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</si>
  <si>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</si>
  <si>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</si>
  <si>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</si>
  <si>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</si>
  <si>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</si>
  <si>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</si>
  <si>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</si>
  <si>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</si>
  <si>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</si>
  <si>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</si>
  <si>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</si>
  <si>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</si>
  <si>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</si>
  <si>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</si>
  <si>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</si>
  <si>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</si>
  <si>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</si>
  <si>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</si>
  <si>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</si>
  <si>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</si>
  <si>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</si>
  <si>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2050-51</t>
  </si>
  <si>
    <t>2051-52</t>
  </si>
  <si>
    <t>Data type</t>
  </si>
  <si>
    <t>float</t>
  </si>
  <si>
    <t>Solar PV - Single axis tracking (AC basis with DC:AC ~1.2+)</t>
  </si>
  <si>
    <t>Wind - onshore</t>
  </si>
  <si>
    <t>Wind - offshore</t>
  </si>
  <si>
    <t>Wave</t>
  </si>
  <si>
    <t>Tidal stream</t>
  </si>
  <si>
    <t>General Details</t>
  </si>
  <si>
    <t>Technical Parameter</t>
  </si>
  <si>
    <t>Economic Parameter</t>
  </si>
  <si>
    <t>Refurbishment</t>
  </si>
  <si>
    <t>Impact of refurbishment on:</t>
  </si>
  <si>
    <t>Generation type</t>
  </si>
  <si>
    <t>Fuel type</t>
  </si>
  <si>
    <t>First year assumed commercially viable for construction</t>
  </si>
  <si>
    <t>Total plant size (gross)</t>
  </si>
  <si>
    <t>Plant net power output</t>
  </si>
  <si>
    <t>Seasonal ratings: summer peak (Not Required)</t>
  </si>
  <si>
    <t>Seasonal ratings: summer typical (Net)</t>
  </si>
  <si>
    <t>Seasonal ratings: not summer
(Net)</t>
  </si>
  <si>
    <t>Technical life</t>
  </si>
  <si>
    <t>Economic life</t>
  </si>
  <si>
    <t>Lead time for development</t>
  </si>
  <si>
    <t>Lead time</t>
  </si>
  <si>
    <t>Construction time</t>
  </si>
  <si>
    <t>Min stable generation</t>
  </si>
  <si>
    <t>Auxiliary load</t>
  </si>
  <si>
    <t>Auxiliary load for generators operating in synchronous condenser mode</t>
  </si>
  <si>
    <t>Full forced outage rate</t>
  </si>
  <si>
    <t>Frequency of full forced outage per annum</t>
  </si>
  <si>
    <t>Full outage mean time to repair</t>
  </si>
  <si>
    <t>Partial forced outage rate</t>
  </si>
  <si>
    <t>Frequency of partial forced outages</t>
  </si>
  <si>
    <t>Partial outage derating factor</t>
  </si>
  <si>
    <t>Partial outage mean time to repair</t>
  </si>
  <si>
    <t>Equivalent forced outage rate</t>
  </si>
  <si>
    <t>Maintenance frequency</t>
  </si>
  <si>
    <t>Average planned maintenance</t>
  </si>
  <si>
    <t>Minimum load required for synchronous condensers</t>
  </si>
  <si>
    <t>Ramp up rate</t>
  </si>
  <si>
    <t>Ramp down rate</t>
  </si>
  <si>
    <t>Heat rate at minimum operation
(HHV Net)</t>
  </si>
  <si>
    <t>Heat rate at maximum operation
(HHV Net)</t>
  </si>
  <si>
    <t>Combustion emissions</t>
  </si>
  <si>
    <t>Efficiency</t>
  </si>
  <si>
    <t>CHP efficiency</t>
  </si>
  <si>
    <t>Hydrogen production</t>
  </si>
  <si>
    <t>Hydrogen consumption</t>
  </si>
  <si>
    <t>Hydrogen gas turbines</t>
  </si>
  <si>
    <t>Hydrogen compressors</t>
  </si>
  <si>
    <t>Hydrogen transport</t>
  </si>
  <si>
    <t>Hydrogen storages</t>
  </si>
  <si>
    <t>Energy consumption</t>
  </si>
  <si>
    <t xml:space="preserve">Water consumption </t>
  </si>
  <si>
    <t>Plant output</t>
  </si>
  <si>
    <t>Gas compressors</t>
  </si>
  <si>
    <t>Gas storages (Fixed)</t>
  </si>
  <si>
    <t>Storage Maximum Charging/Pumping load</t>
  </si>
  <si>
    <t>Storage cycle efficiency</t>
  </si>
  <si>
    <t>Storage: charge efficiency</t>
  </si>
  <si>
    <t>Storage: discharge efficiency</t>
  </si>
  <si>
    <t>Storage: allowable max state of charge</t>
  </si>
  <si>
    <t>Storage: allowable min state of charge</t>
  </si>
  <si>
    <t>Storage: maximum number of cycles</t>
  </si>
  <si>
    <t>Storage: depth of discharge</t>
  </si>
  <si>
    <t>Unit size (nominal)</t>
  </si>
  <si>
    <t>Number of units</t>
  </si>
  <si>
    <t>Total capex: net</t>
  </si>
  <si>
    <t>Total capex: gross</t>
  </si>
  <si>
    <t>Total capex: storage depth</t>
  </si>
  <si>
    <t xml:space="preserve">Total capex </t>
  </si>
  <si>
    <t>Total capex with land costs</t>
  </si>
  <si>
    <t>Equipment costs</t>
  </si>
  <si>
    <t>Fuel connection costs (Fixed)</t>
  </si>
  <si>
    <t>Fuel connection costs (Variable)</t>
  </si>
  <si>
    <t>Cost of land and development</t>
  </si>
  <si>
    <t>Installation costs</t>
  </si>
  <si>
    <t>Carbon capture equipment and installation costs 
$</t>
  </si>
  <si>
    <t>Carbon storage costs</t>
  </si>
  <si>
    <t>Carbon transportation costs</t>
  </si>
  <si>
    <t>Decommissioning, demolition &amp; rehabilitation costs</t>
  </si>
  <si>
    <t>Disposal costs</t>
  </si>
  <si>
    <t>Recycling costs</t>
  </si>
  <si>
    <t>Total retirement costs</t>
  </si>
  <si>
    <t>Fixed operating cost</t>
  </si>
  <si>
    <t>Extended warranties</t>
  </si>
  <si>
    <t>Variable operating cost</t>
  </si>
  <si>
    <t>Refurbishment cost (costs for components for major types of refurbishment)</t>
  </si>
  <si>
    <t>Duration of refurbishment</t>
  </si>
  <si>
    <t>Net Output</t>
  </si>
  <si>
    <t>Thermal efficiency (HHV sent-out)</t>
  </si>
  <si>
    <t>Variable operation and maintenance cost</t>
  </si>
  <si>
    <t>Fixed operation and maintenance cost</t>
  </si>
  <si>
    <t>Fugitive emissions</t>
  </si>
  <si>
    <t>Cold start-up notification time</t>
  </si>
  <si>
    <t>Warm start-up notification time</t>
  </si>
  <si>
    <t>Hot start-up notification time</t>
  </si>
  <si>
    <t>Cold start up costs</t>
  </si>
  <si>
    <t>Warm start up costs</t>
  </si>
  <si>
    <t>Hot start up costs</t>
  </si>
  <si>
    <t>MW</t>
  </si>
  <si>
    <t>years</t>
  </si>
  <si>
    <t>weeks</t>
  </si>
  <si>
    <t>%</t>
  </si>
  <si>
    <t>hour</t>
  </si>
  <si>
    <t>events per year</t>
  </si>
  <si>
    <t>days/year</t>
  </si>
  <si>
    <t>MW/min</t>
  </si>
  <si>
    <t>GJ/MWh</t>
  </si>
  <si>
    <t>kg CO2-e/GJ of fuel</t>
  </si>
  <si>
    <t>kg/h</t>
  </si>
  <si>
    <t>MWh/t(NH3)</t>
  </si>
  <si>
    <t>m3/t(NH3)</t>
  </si>
  <si>
    <t>tpd</t>
  </si>
  <si>
    <t>$/GJ/day</t>
  </si>
  <si>
    <t>$/kW</t>
  </si>
  <si>
    <t>$/kWh</t>
  </si>
  <si>
    <t>$</t>
  </si>
  <si>
    <t>$/km</t>
  </si>
  <si>
    <t>$/t CO2</t>
  </si>
  <si>
    <t>$/tCO2/km</t>
  </si>
  <si>
    <t>$/MW net</t>
  </si>
  <si>
    <t>$/MW gross</t>
  </si>
  <si>
    <t>$/MW Net/year</t>
  </si>
  <si>
    <t>$/MWh Net</t>
  </si>
  <si>
    <t>Weeks</t>
  </si>
  <si>
    <t>kW</t>
  </si>
  <si>
    <t>$/MWh</t>
  </si>
  <si>
    <t>$/kW/annum</t>
  </si>
  <si>
    <t>kg CO2e/GJ</t>
  </si>
  <si>
    <t>tonnes CO2e/GJ</t>
  </si>
  <si>
    <t>Hr</t>
  </si>
  <si>
    <t>$/MW</t>
  </si>
  <si>
    <t>str</t>
  </si>
  <si>
    <t>date</t>
  </si>
  <si>
    <t>int</t>
  </si>
  <si>
    <t>CCGT - Without CCS</t>
  </si>
  <si>
    <t>Thermal</t>
  </si>
  <si>
    <t>Natural Gas</t>
  </si>
  <si>
    <t>CCGT - With CCS (90%)</t>
  </si>
  <si>
    <t>CCGT - With CCS (50%)</t>
  </si>
  <si>
    <t>OCGT - Small Aero-derivative, hydrogen ready (35%)</t>
  </si>
  <si>
    <t>Natural Gas/Diesel</t>
  </si>
  <si>
    <t>OCGT - Large Aero-derivative, hydrogen ready (35%)</t>
  </si>
  <si>
    <t>OCGT - Small Industrial, hydrogen ready (10-15%)</t>
  </si>
  <si>
    <t>OCGT - Large Industrial, hydrogen ready (10%)</t>
  </si>
  <si>
    <t>Reciprocating Internal Combustion Engines, hydrogen ready (25%)</t>
  </si>
  <si>
    <t>Sub-critical - Black Coal, Small without CCS</t>
  </si>
  <si>
    <t>Black Coal</t>
  </si>
  <si>
    <t>N/A</t>
  </si>
  <si>
    <t>Sub-critical - Black Coal, Small with CCS</t>
  </si>
  <si>
    <t>Sub-critical - Black Coal, Large without CCS</t>
  </si>
  <si>
    <t>Sub-critical - Black Coal, Large with CCS</t>
  </si>
  <si>
    <t>Super-critical - Black Coal, Small without CCS</t>
  </si>
  <si>
    <t>Super-critical - Black Coal, Small with CCS</t>
  </si>
  <si>
    <t>Super-critical - Black Coal, Large without CCS</t>
  </si>
  <si>
    <t>Super-critical - Black Coal, Large with CCS</t>
  </si>
  <si>
    <t>Sub-critical - Brown Coal, Small without CCS</t>
  </si>
  <si>
    <t>Brown Coal</t>
  </si>
  <si>
    <t>Sub-critical - Brown Coal, Small with CCS</t>
  </si>
  <si>
    <t>Sub-critical - Brown Coal, Large without CCS</t>
  </si>
  <si>
    <t>Sub-critical - Brown Coal, Large with CCS</t>
  </si>
  <si>
    <t>Ultra Super-critical - Black Coal Without CCS</t>
  </si>
  <si>
    <t xml:space="preserve">Black Coal </t>
  </si>
  <si>
    <t>Ultra Super-critical - Black Coal With CCS (90%)</t>
  </si>
  <si>
    <t>Ultra Super-critical - Black Coal With CCS (50%)</t>
  </si>
  <si>
    <t>Conventional hydro</t>
  </si>
  <si>
    <t> </t>
  </si>
  <si>
    <t>Pumped hydroelectric storage (10 hr)</t>
  </si>
  <si>
    <t>Storage</t>
  </si>
  <si>
    <t>Pumped hydroelectric storage (24 hr)</t>
  </si>
  <si>
    <t>Pumped hydroelectric storage (48 hr)</t>
  </si>
  <si>
    <t>Pumped hydroelectric storage (160 hr)</t>
  </si>
  <si>
    <t>Large Scale Li-ion Battery Storage (1hr)</t>
  </si>
  <si>
    <t>1-2</t>
  </si>
  <si>
    <t>1-2%</t>
  </si>
  <si>
    <t>10,000+</t>
  </si>
  <si>
    <t>Large Scale Li-ion Battery Storage (2hr)</t>
  </si>
  <si>
    <t>Large Scale Li ion Battery Storage (4hr)</t>
  </si>
  <si>
    <t>Large Scale Li ion Battery Storage (8hr)</t>
  </si>
  <si>
    <t>Large Scale Flow Battery Storage (8hr)</t>
  </si>
  <si>
    <t>1.5-2</t>
  </si>
  <si>
    <t>3-5%</t>
  </si>
  <si>
    <t>&gt;10,000</t>
  </si>
  <si>
    <t>Large Scale Flow Battery Storage (12hr)</t>
  </si>
  <si>
    <t>Large Scale Battery Storage (1hr) for hybrid generation</t>
  </si>
  <si>
    <t>Large Scale Battery Storage (2hr) for hybrid generation</t>
  </si>
  <si>
    <t>Large Scale Battery Storage (4hr) for hybrid generation</t>
  </si>
  <si>
    <t>Large Scale Battery Storage (8hr) for hybrid generation</t>
  </si>
  <si>
    <t>Large Scale Battery Storage (8hr) for hybrid generation (VRB)</t>
  </si>
  <si>
    <t>Large Scale Battery Storage (12hr) for hybrid generation (VRB)</t>
  </si>
  <si>
    <t>Residential Battery Storage (2hr)</t>
  </si>
  <si>
    <t>2-3%</t>
  </si>
  <si>
    <t>Compressed Air Energy Storage (12 hr vessel storage)</t>
  </si>
  <si>
    <t>30-50</t>
  </si>
  <si>
    <t>80-100</t>
  </si>
  <si>
    <t>Negligible</t>
  </si>
  <si>
    <t>0.5-2</t>
  </si>
  <si>
    <t>Compressed Air Energy Storage (8 hr cavern storage)</t>
  </si>
  <si>
    <t>2-5</t>
  </si>
  <si>
    <t>100-150</t>
  </si>
  <si>
    <t>Renewable</t>
  </si>
  <si>
    <t xml:space="preserve">Near 0 </t>
  </si>
  <si>
    <t>Tidal Stream</t>
  </si>
  <si>
    <t>4 to 5</t>
  </si>
  <si>
    <t>Solar PV - Single axis tracking - Large Scale</t>
  </si>
  <si>
    <t>Resource dependent</t>
  </si>
  <si>
    <t>Resource and system dependent</t>
  </si>
  <si>
    <t>incl in fixed operation cost</t>
  </si>
  <si>
    <t>Net 10MW (5%) reduction during refurb assuming 2 x 5MW central inverters offline at once</t>
  </si>
  <si>
    <t>incl</t>
  </si>
  <si>
    <t>Solar PV - Distribution Scale (SAT):  20-40MW</t>
  </si>
  <si>
    <t>Incl in EFOR</t>
  </si>
  <si>
    <t>Net 5MW (25%) reduction during refurb assuming 1 x 5MW central inverter offline at once</t>
  </si>
  <si>
    <t>Solar PV - Distribution Scale (SAT):  5-20MW</t>
  </si>
  <si>
    <t xml:space="preserve">Minimal reduction during refurb assuming use of string inverters </t>
  </si>
  <si>
    <t>Solar PV - Behind the Meter (rooftop):  100kW-5MW</t>
  </si>
  <si>
    <t>Solar Thermal Central Receiver with storage (14hr)</t>
  </si>
  <si>
    <t>26-40</t>
  </si>
  <si>
    <t>NB material refurb only expected at end of operating life - so may be N/A in this instance</t>
  </si>
  <si>
    <t>Typically ~30% for steam system, expected to improve 1.5-2.5%</t>
  </si>
  <si>
    <t>Expected to reduce die to less pressure part failures, EFOR to reduce to ~3%</t>
  </si>
  <si>
    <t>6 to 8</t>
  </si>
  <si>
    <t>3 to 4</t>
  </si>
  <si>
    <t>1 to 1.5</t>
  </si>
  <si>
    <t>Per pump power for  start time indicated</t>
  </si>
  <si>
    <t>3 to 5</t>
  </si>
  <si>
    <t>Wind - offshore (Fixed)</t>
  </si>
  <si>
    <t>5+</t>
  </si>
  <si>
    <t>Wind - offshore (Floating)</t>
  </si>
  <si>
    <t>Waste to Energy</t>
  </si>
  <si>
    <t>Municipal waste</t>
  </si>
  <si>
    <t>Fuel cells  - small (assume PEMFC)</t>
  </si>
  <si>
    <t>Renewable Hydrogen</t>
  </si>
  <si>
    <t>1 to 2</t>
  </si>
  <si>
    <t>Variable</t>
  </si>
  <si>
    <t>0-100% in &lt; 1min</t>
  </si>
  <si>
    <t>Included in fixed O&amp;M (excludes power, water)</t>
  </si>
  <si>
    <t>Dependent on # modules, and parallel vs series refurb, expect low single digit weeks per module</t>
  </si>
  <si>
    <t>Refurb could be staged to take one module off at a time.  Net impact on production dependent on # modules installed</t>
  </si>
  <si>
    <t>Stack replacement, typ ~10% improvement in spec power at stack end of life</t>
  </si>
  <si>
    <t>&lt;1min</t>
  </si>
  <si>
    <t>minimal</t>
  </si>
  <si>
    <t>Fuel cells - large (assume PEMFC)</t>
  </si>
  <si>
    <t xml:space="preserve">Electrolysers - Proton Exchange Membrane </t>
  </si>
  <si>
    <t>60s for 0-100%</t>
  </si>
  <si>
    <t>Electrolysers - Alkaline</t>
  </si>
  <si>
    <t>20% per minute</t>
  </si>
  <si>
    <t>Description</t>
  </si>
  <si>
    <t>Plant capacity</t>
  </si>
  <si>
    <t>Water consumption</t>
  </si>
  <si>
    <t>Capex rate: kW</t>
  </si>
  <si>
    <t>Capex rate: kg</t>
  </si>
  <si>
    <t>Capex</t>
  </si>
  <si>
    <t>Development cost</t>
  </si>
  <si>
    <t>Construction cost</t>
  </si>
  <si>
    <t>Opex - power cost</t>
  </si>
  <si>
    <t>Opex - operation and maintenance cost</t>
  </si>
  <si>
    <t>Hydrogen source</t>
  </si>
  <si>
    <t>Co2 emissions</t>
  </si>
  <si>
    <t>Gas consumption</t>
  </si>
  <si>
    <t>Electric power consumption</t>
  </si>
  <si>
    <t>Opex incl natural gas cost</t>
  </si>
  <si>
    <t>Storage temperature</t>
  </si>
  <si>
    <t>Boil off losses /day</t>
  </si>
  <si>
    <t>T-H2/d</t>
  </si>
  <si>
    <t>kg/kg H2</t>
  </si>
  <si>
    <t>$/kW-H2</t>
  </si>
  <si>
    <t>$/kg H2/yr</t>
  </si>
  <si>
    <t>$/year</t>
  </si>
  <si>
    <t>$/kg H2</t>
  </si>
  <si>
    <t>kg-CO2/kg-H2</t>
  </si>
  <si>
    <t>GJ/d</t>
  </si>
  <si>
    <t>kWh/kg-H2</t>
  </si>
  <si>
    <t>degC</t>
  </si>
  <si>
    <t>Losses/day (%)</t>
  </si>
  <si>
    <t>SMR</t>
  </si>
  <si>
    <t>Hydrogen generation by Steam Methane Reforming - smaller</t>
  </si>
  <si>
    <t>NG</t>
  </si>
  <si>
    <t>Hydrogen generation by Steam Methane Reforming - large</t>
  </si>
  <si>
    <t>SMR with CCS</t>
  </si>
  <si>
    <t>Hydrogen generation by SMR with Carbon Capture and Storage - smaller</t>
  </si>
  <si>
    <t>Hydrogen generation by SMR with Carbon Capture and Storage - large</t>
  </si>
  <si>
    <t>Liquefaction Plant &amp; LH2 Storage</t>
  </si>
  <si>
    <t>Hydrogen Liquefaction by cooling to cryogenic temperatures</t>
  </si>
  <si>
    <t>Excluded</t>
  </si>
  <si>
    <t>NG/electrolysis</t>
  </si>
  <si>
    <t>Could be 0 theoretically</t>
  </si>
  <si>
    <t>Gaseous H2 storage</t>
  </si>
  <si>
    <t>Hydrogen compression and gaseous storage of compressed hydrogen in vessels</t>
  </si>
  <si>
    <t>Ambient</t>
  </si>
  <si>
    <t>Daily ammonia production (tpd)</t>
  </si>
  <si>
    <t>Annual ammonia output</t>
  </si>
  <si>
    <t>Stream days</t>
  </si>
  <si>
    <t>Opex</t>
  </si>
  <si>
    <t>MWh/t(ammonia)</t>
  </si>
  <si>
    <t>kg (H2)/t(NH3)</t>
  </si>
  <si>
    <t>tpa</t>
  </si>
  <si>
    <t>$M</t>
  </si>
  <si>
    <t>$M/year</t>
  </si>
  <si>
    <t>Ammonia Facility</t>
  </si>
  <si>
    <t>Haber-Bosch process, with air separation unit for nitrogen supply, cooling tower, and steam turbine generator for waste heat recovery</t>
  </si>
  <si>
    <t>0.42 at design rates - highly load dependent</t>
  </si>
  <si>
    <t>Primarily for cooling; highly dependent on cooling tech</t>
  </si>
  <si>
    <t>258 days p.a. ave excl planned shutdowns</t>
  </si>
  <si>
    <t>7.9</t>
  </si>
  <si>
    <t>Source water</t>
  </si>
  <si>
    <t>Demineralised water produced</t>
  </si>
  <si>
    <t>Potable water  produced</t>
  </si>
  <si>
    <t>Wastewater - membrane backwash and cleaning</t>
  </si>
  <si>
    <t>Wastewater - brine production</t>
  </si>
  <si>
    <t>Recovery ratio</t>
  </si>
  <si>
    <t>Power consumption: with energy recovery</t>
  </si>
  <si>
    <t>Power consumption: without energy recovery</t>
  </si>
  <si>
    <t>Capex rate</t>
  </si>
  <si>
    <t>Opex - chemical cost</t>
  </si>
  <si>
    <t>Opex - labour cost</t>
  </si>
  <si>
    <t>m3/d</t>
  </si>
  <si>
    <t>kWh/m3 feed water</t>
  </si>
  <si>
    <t>$/ML/year feed water</t>
  </si>
  <si>
    <t xml:space="preserve">Demineralisation plant </t>
  </si>
  <si>
    <t>Using potable water to produce highly purified water for hydrogen production for a 10 MW electrolyser</t>
  </si>
  <si>
    <t>Potable water</t>
  </si>
  <si>
    <t>1000-2000</t>
  </si>
  <si>
    <t>400,000-800,000</t>
  </si>
  <si>
    <t>240,000-480,000</t>
  </si>
  <si>
    <t>&lt; 1000</t>
  </si>
  <si>
    <t>15,000-25,000</t>
  </si>
  <si>
    <t>3,000-6,000</t>
  </si>
  <si>
    <t>8,000-15,000</t>
  </si>
  <si>
    <t>Desalination plant (large scale)</t>
  </si>
  <si>
    <t>Full-scale desalination for 100,000 ML/year plant to produce potable water with a recovery ratio of 0.4</t>
  </si>
  <si>
    <t>Seawater</t>
  </si>
  <si>
    <t>Cavern volume</t>
  </si>
  <si>
    <t>Maximum storage capacity</t>
  </si>
  <si>
    <t>Mean depth</t>
  </si>
  <si>
    <t>Working capacity</t>
  </si>
  <si>
    <t>Gas cycling requirements</t>
  </si>
  <si>
    <t>Operating pressure</t>
  </si>
  <si>
    <t>Operating temperature</t>
  </si>
  <si>
    <t>Capex, engineering</t>
  </si>
  <si>
    <t>Capex, below ground</t>
  </si>
  <si>
    <t>Capex, leaching and brine disposal</t>
  </si>
  <si>
    <t>Capex, above ground</t>
  </si>
  <si>
    <t>m3</t>
  </si>
  <si>
    <t>tonne</t>
  </si>
  <si>
    <t>m</t>
  </si>
  <si>
    <t>cycles/year</t>
  </si>
  <si>
    <t>bar</t>
  </si>
  <si>
    <t>deg C</t>
  </si>
  <si>
    <t>MWh/tonne</t>
  </si>
  <si>
    <t>Hydrogen storage (geological)</t>
  </si>
  <si>
    <t>Salt cavern that reflects operating conditions of existing projects in the UK and USA</t>
  </si>
  <si>
    <t>Assumed unit size</t>
  </si>
  <si>
    <t>Seasonal ratings: summer typical</t>
  </si>
  <si>
    <t>Seasonal ratings: not summer</t>
  </si>
  <si>
    <t>Heat rate at minimum operation</t>
  </si>
  <si>
    <t>Heat rate at maximum operation</t>
  </si>
  <si>
    <t xml:space="preserve">Carbon capture equipment and installation costs </t>
  </si>
  <si>
    <t>Recycling cost</t>
  </si>
  <si>
    <t>NmÂ³/h</t>
  </si>
  <si>
    <t>MW/h</t>
  </si>
  <si>
    <t>NmÂ³/year</t>
  </si>
  <si>
    <t>Biogas digestors</t>
  </si>
  <si>
    <t>Anaerobic digestion of  organic feedstocks</t>
  </si>
  <si>
    <t>Agricultural residues, energy crops, food waste, manures, sewage, MSW</t>
  </si>
  <si>
    <t xml:space="preserve">LFG </t>
  </si>
  <si>
    <t xml:space="preserve">Landfill gas well collection system </t>
  </si>
  <si>
    <t>Organics in  (organics in general household waste)</t>
  </si>
  <si>
    <t>Up to 50 years</t>
  </si>
  <si>
    <t>2 + 1-2 years for steady production</t>
  </si>
  <si>
    <t>ML/year</t>
  </si>
  <si>
    <t>$/ML/year</t>
  </si>
  <si>
    <t>Biodiesel production</t>
  </si>
  <si>
    <t>Renewable Biofuel Production</t>
  </si>
  <si>
    <t>Vegetable Oils from soybean, sunflower or safflower, Used Cooking Oil (UCO), Tallow, etc</t>
  </si>
  <si>
    <t>Assumed unit size (Electrical)</t>
  </si>
  <si>
    <t>Assumed unit size (thermal)</t>
  </si>
  <si>
    <t>Plant net power output (Electrical)</t>
  </si>
  <si>
    <t>Plant net power output (thermal)</t>
  </si>
  <si>
    <t>Seasonal ratings: summer typical (Electrical)</t>
  </si>
  <si>
    <t>Seasonal ratings: summer typical (thermal)</t>
  </si>
  <si>
    <t>Seasonal ratings: not summer (Electrical)</t>
  </si>
  <si>
    <t>Seasonal ratings: not summer (thermal)</t>
  </si>
  <si>
    <t>Total capex: net (Electrical)</t>
  </si>
  <si>
    <t>Total capex: net (Electrical plus thermal0)</t>
  </si>
  <si>
    <t>Biomass Generation - Electricity and steam</t>
  </si>
  <si>
    <t>Thermal (renewable)</t>
  </si>
  <si>
    <t>Woodchip</t>
  </si>
  <si>
    <t>18.5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</si>
</sst>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  <numFmt numFmtId="167" formatCode="_-* #,##0_-;\-* #,##0_-;_-* &quot;-&quot;??_-;_-@_-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164" fontId="5" fillId="0" borderId="1" applyNumberFormat="0" applyAlignment="0">
      <alignment horizontal="center"/>
    </xf>
    <xf numFmtId="9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165" fontId="3" fillId="0" borderId="3" xfId="3" applyNumberFormat="1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left" vertical="top" wrapText="1"/>
    </xf>
    <xf numFmtId="9" fontId="3" fillId="0" borderId="3" xfId="3" applyFont="1" applyFill="1" applyBorder="1" applyAlignment="1">
      <alignment horizontal="left" vertical="top" wrapText="1"/>
    </xf>
    <xf numFmtId="10" fontId="3" fillId="0" borderId="3" xfId="0" applyNumberFormat="1" applyFont="1" applyBorder="1" applyAlignment="1">
      <alignment horizontal="left" vertical="top" wrapText="1"/>
    </xf>
    <xf numFmtId="0" fontId="1" fillId="0" borderId="0" xfId="4" applyFont="1"/>
    <xf numFmtId="0" fontId="7" fillId="0" borderId="0" xfId="4"/>
    <xf numFmtId="10" fontId="3" fillId="0" borderId="3" xfId="3" applyNumberFormat="1" applyFont="1" applyFill="1" applyBorder="1" applyAlignment="1">
      <alignment horizontal="left" vertical="top" wrapText="1"/>
    </xf>
    <xf numFmtId="43" fontId="3" fillId="0" borderId="3" xfId="5" applyFont="1" applyFill="1" applyBorder="1" applyAlignment="1">
      <alignment horizontal="left" vertical="top" wrapText="1"/>
    </xf>
    <xf numFmtId="0" fontId="3" fillId="0" borderId="0" xfId="0" applyFont="1"/>
    <xf numFmtId="43" fontId="3" fillId="0" borderId="0" xfId="5" applyFont="1"/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4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3" fillId="6" borderId="3" xfId="1" applyFont="1" applyFill="1" applyBorder="1" applyAlignment="1">
      <alignment horizontal="left" vertical="top" wrapText="1"/>
    </xf>
    <xf numFmtId="0" fontId="3" fillId="9" borderId="3" xfId="0" applyFont="1" applyFill="1" applyBorder="1"/>
    <xf numFmtId="0" fontId="3" fillId="10" borderId="3" xfId="0" applyFont="1" applyFill="1" applyBorder="1"/>
    <xf numFmtId="0" fontId="3" fillId="9" borderId="3" xfId="0" applyFont="1" applyFill="1" applyBorder="1" applyAlignment="1">
      <alignment vertical="center"/>
    </xf>
    <xf numFmtId="2" fontId="3" fillId="0" borderId="3" xfId="0" applyNumberFormat="1" applyFont="1" applyBorder="1"/>
    <xf numFmtId="2" fontId="3" fillId="0" borderId="3" xfId="3" applyNumberFormat="1" applyFont="1" applyBorder="1"/>
    <xf numFmtId="9" fontId="3" fillId="0" borderId="3" xfId="0" applyNumberFormat="1" applyFont="1" applyBorder="1"/>
    <xf numFmtId="165" fontId="3" fillId="0" borderId="3" xfId="0" applyNumberFormat="1" applyFont="1" applyBorder="1"/>
    <xf numFmtId="165" fontId="3" fillId="0" borderId="9" xfId="3" applyNumberFormat="1" applyFont="1" applyFill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10" fontId="3" fillId="0" borderId="3" xfId="0" applyNumberFormat="1" applyFont="1" applyBorder="1"/>
    <xf numFmtId="0" fontId="3" fillId="0" borderId="3" xfId="0" applyFont="1" applyBorder="1" applyAlignment="1">
      <alignment horizontal="center" vertical="top" wrapText="1"/>
    </xf>
    <xf numFmtId="10" fontId="3" fillId="0" borderId="3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3" xfId="4" applyFont="1" applyBorder="1" applyAlignment="1">
      <alignment horizontal="center"/>
    </xf>
    <xf numFmtId="49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 applyAlignment="1">
      <alignment vertical="top"/>
    </xf>
    <xf numFmtId="0" fontId="3" fillId="11" borderId="0" xfId="0" applyFont="1" applyFill="1" applyAlignment="1">
      <alignment horizontal="left" vertical="top"/>
    </xf>
    <xf numFmtId="0" fontId="3" fillId="11" borderId="7" xfId="0" applyFont="1" applyFill="1" applyBorder="1" applyAlignment="1">
      <alignment horizontal="left" vertical="top"/>
    </xf>
    <xf numFmtId="0" fontId="3" fillId="11" borderId="8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 wrapText="1"/>
    </xf>
    <xf numFmtId="165" fontId="3" fillId="0" borderId="3" xfId="3" quotePrefix="1" applyNumberFormat="1" applyFont="1" applyFill="1" applyBorder="1" applyAlignment="1">
      <alignment horizontal="left" vertical="top" wrapText="1"/>
    </xf>
    <xf numFmtId="0" fontId="0" fillId="0" borderId="3" xfId="0" applyBorder="1"/>
    <xf numFmtId="1" fontId="0" fillId="0" borderId="3" xfId="0" applyNumberFormat="1" applyBorder="1"/>
    <xf numFmtId="2" fontId="0" fillId="0" borderId="3" xfId="0" applyNumberFormat="1" applyBorder="1"/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9" xfId="0" applyFont="1" applyBorder="1"/>
    <xf numFmtId="2" fontId="3" fillId="0" borderId="9" xfId="0" applyNumberFormat="1" applyFont="1" applyBorder="1"/>
    <xf numFmtId="165" fontId="3" fillId="0" borderId="9" xfId="3" applyNumberFormat="1" applyFont="1" applyBorder="1"/>
    <xf numFmtId="166" fontId="0" fillId="0" borderId="3" xfId="0" applyNumberFormat="1" applyBorder="1"/>
    <xf numFmtId="3" fontId="0" fillId="0" borderId="3" xfId="0" applyNumberFormat="1" applyBorder="1"/>
    <xf numFmtId="3" fontId="3" fillId="0" borderId="3" xfId="0" applyNumberFormat="1" applyFont="1" applyBorder="1"/>
    <xf numFmtId="3" fontId="3" fillId="0" borderId="9" xfId="0" applyNumberFormat="1" applyFont="1" applyBorder="1"/>
    <xf numFmtId="49" fontId="3" fillId="0" borderId="3" xfId="5" applyNumberFormat="1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3" xfId="4" applyNumberFormat="1" applyFont="1" applyBorder="1" applyAlignment="1">
      <alignment horizontal="center" vertical="top"/>
    </xf>
    <xf numFmtId="0" fontId="3" fillId="0" borderId="3" xfId="4" applyFont="1" applyBorder="1" applyAlignment="1">
      <alignment horizontal="center" vertical="top"/>
    </xf>
    <xf numFmtId="0" fontId="3" fillId="0" borderId="3" xfId="4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2" fontId="3" fillId="0" borderId="3" xfId="0" quotePrefix="1" applyNumberFormat="1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left" vertical="top"/>
    </xf>
    <xf numFmtId="44" fontId="3" fillId="0" borderId="3" xfId="6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10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0" fontId="8" fillId="0" borderId="6" xfId="0" applyNumberFormat="1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6" fontId="3" fillId="0" borderId="3" xfId="0" quotePrefix="1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9" fontId="3" fillId="0" borderId="3" xfId="0" applyNumberFormat="1" applyFont="1" applyBorder="1" applyAlignment="1">
      <alignment horizontal="left" vertical="top" wrapText="1"/>
    </xf>
    <xf numFmtId="167" fontId="3" fillId="0" borderId="3" xfId="5" applyNumberFormat="1" applyFont="1" applyFill="1" applyBorder="1" applyAlignment="1">
      <alignment horizontal="left" vertical="top" wrapText="1"/>
    </xf>
    <xf numFmtId="9" fontId="3" fillId="0" borderId="9" xfId="0" applyNumberFormat="1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left" vertical="top" wrapText="1"/>
    </xf>
    <xf numFmtId="167" fontId="3" fillId="0" borderId="9" xfId="5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16" fontId="3" fillId="0" borderId="3" xfId="0" applyNumberFormat="1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right" vertical="top" wrapText="1"/>
    </xf>
    <xf numFmtId="168" fontId="3" fillId="0" borderId="3" xfId="0" applyNumberFormat="1" applyFont="1" applyBorder="1" applyAlignment="1">
      <alignment horizontal="left" vertical="top" wrapText="1"/>
    </xf>
    <xf numFmtId="166" fontId="3" fillId="0" borderId="3" xfId="0" applyNumberFormat="1" applyFont="1" applyBorder="1" applyAlignment="1">
      <alignment horizontal="left" vertical="top" wrapText="1"/>
    </xf>
    <xf numFmtId="3" fontId="5" fillId="0" borderId="3" xfId="0" applyNumberFormat="1" applyFont="1" applyBorder="1" applyAlignment="1">
      <alignment horizontal="left" vertical="top"/>
    </xf>
    <xf numFmtId="3" fontId="8" fillId="0" borderId="3" xfId="0" applyNumberFormat="1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left" vertical="top" wrapText="1"/>
    </xf>
    <xf numFmtId="0" fontId="3" fillId="11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</cellXfs>
  <cellStyles count="7">
    <cellStyle name="Accent1" xfId="1" builtinId="29"/>
    <cellStyle name="CellNum" xfId="2" xr:uid="{0C18302C-534F-46E3-8BA9-0CABB19BE369}"/>
    <cellStyle name="Comma" xfId="5" builtinId="3"/>
    <cellStyle name="Currency" xfId="6" builtinId="4"/>
    <cellStyle name="Normal" xfId="0" builtinId="0"/>
    <cellStyle name="Normal 2" xfId="4" xr:uid="{D872B632-CBD3-4F85-9AC6-B239E9D367D0}"/>
    <cellStyle name="Percent" xfId="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92A2-9AE9-4A14-B611-BBC2FCFA1EE1}">
  <sheetPr>
    <tabColor rgb="FF00B050"/>
  </sheetPr>
  <dimension ref="A1:AB7"/>
  <sheetViews>
    <sheetView tabSelected="1" workbookViewId="0">
      <selection activeCell="O34" sqref="O34"/>
    </sheetView>
  </sheetViews>
  <sheetFormatPr defaultColWidth="9.140625" defaultRowHeight="15" x14ac:dyDescent="0.25"/>
  <cols>
    <col min="1" max="1" width="52.42578125" style="12" bestFit="1" customWidth="1"/>
    <col min="2" max="16384" width="9.140625" style="12"/>
  </cols>
  <sheetData>
    <row r="1" spans="1:28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4" t="s">
        <v>27</v>
      </c>
    </row>
    <row r="2" spans="1:28" x14ac:dyDescent="0.25">
      <c r="A2" s="25" t="s">
        <v>28</v>
      </c>
      <c r="B2" s="25" t="s">
        <v>29</v>
      </c>
      <c r="C2" s="25" t="s">
        <v>29</v>
      </c>
      <c r="D2" s="25" t="s">
        <v>29</v>
      </c>
      <c r="E2" s="25" t="s">
        <v>29</v>
      </c>
      <c r="F2" s="25" t="s">
        <v>29</v>
      </c>
      <c r="G2" s="25" t="s">
        <v>29</v>
      </c>
      <c r="H2" s="25" t="s">
        <v>29</v>
      </c>
      <c r="I2" s="25" t="s">
        <v>29</v>
      </c>
      <c r="J2" s="25" t="s">
        <v>29</v>
      </c>
      <c r="K2" s="25" t="s">
        <v>29</v>
      </c>
      <c r="L2" s="25" t="s">
        <v>29</v>
      </c>
      <c r="M2" s="25" t="s">
        <v>29</v>
      </c>
      <c r="N2" s="25" t="s">
        <v>29</v>
      </c>
      <c r="O2" s="25" t="s">
        <v>29</v>
      </c>
      <c r="P2" s="25" t="s">
        <v>29</v>
      </c>
      <c r="Q2" s="25" t="s">
        <v>29</v>
      </c>
      <c r="R2" s="25" t="s">
        <v>29</v>
      </c>
      <c r="S2" s="25" t="s">
        <v>29</v>
      </c>
      <c r="T2" s="25" t="s">
        <v>29</v>
      </c>
      <c r="U2" s="25" t="s">
        <v>29</v>
      </c>
      <c r="V2" s="25" t="s">
        <v>29</v>
      </c>
      <c r="W2" s="25" t="s">
        <v>29</v>
      </c>
      <c r="X2" s="25" t="s">
        <v>29</v>
      </c>
      <c r="Y2" s="25" t="s">
        <v>29</v>
      </c>
      <c r="Z2" s="25" t="s">
        <v>29</v>
      </c>
      <c r="AA2" s="25" t="s">
        <v>29</v>
      </c>
      <c r="AB2" s="25" t="s">
        <v>29</v>
      </c>
    </row>
    <row r="3" spans="1:28" x14ac:dyDescent="0.25">
      <c r="A3" s="18" t="s">
        <v>30</v>
      </c>
      <c r="B3" s="29">
        <v>0.28999999999999998</v>
      </c>
      <c r="C3" s="33">
        <v>0.29199999999999998</v>
      </c>
      <c r="D3" s="33">
        <v>0.29399999999999998</v>
      </c>
      <c r="E3" s="29">
        <v>0.29599999999999999</v>
      </c>
      <c r="F3" s="33">
        <v>0.29799999999999999</v>
      </c>
      <c r="G3" s="33">
        <v>0.3</v>
      </c>
      <c r="H3" s="29">
        <v>0.30199999999999999</v>
      </c>
      <c r="I3" s="33">
        <v>0.30399999999999999</v>
      </c>
      <c r="J3" s="33">
        <v>0.30599999999999999</v>
      </c>
      <c r="K3" s="29">
        <v>0.308</v>
      </c>
      <c r="L3" s="29">
        <v>0.31</v>
      </c>
      <c r="M3" s="29">
        <v>0.312</v>
      </c>
      <c r="N3" s="29">
        <v>0.314</v>
      </c>
      <c r="O3" s="29">
        <v>0.316</v>
      </c>
      <c r="P3" s="29">
        <v>0.318</v>
      </c>
      <c r="Q3" s="29">
        <v>0.32</v>
      </c>
      <c r="R3" s="29">
        <v>0.32200000000000001</v>
      </c>
      <c r="S3" s="29">
        <v>0.32400000000000001</v>
      </c>
      <c r="T3" s="29">
        <v>0.32600000000000001</v>
      </c>
      <c r="U3" s="29">
        <v>0.32800000000000001</v>
      </c>
      <c r="V3" s="29">
        <v>0.33</v>
      </c>
      <c r="W3" s="29">
        <v>0.33200000000000002</v>
      </c>
      <c r="X3" s="29">
        <v>0.33400000000000002</v>
      </c>
      <c r="Y3" s="29">
        <v>0.33600000000000002</v>
      </c>
      <c r="Z3" s="29">
        <v>0.33800000000000002</v>
      </c>
      <c r="AA3" s="29">
        <v>0.34</v>
      </c>
      <c r="AB3" s="29">
        <v>0.34200000000000003</v>
      </c>
    </row>
    <row r="4" spans="1:28" x14ac:dyDescent="0.25">
      <c r="A4" s="18" t="s">
        <v>31</v>
      </c>
      <c r="B4" s="29">
        <v>0.35</v>
      </c>
      <c r="C4" s="29">
        <v>0.35</v>
      </c>
      <c r="D4" s="29">
        <v>0.35</v>
      </c>
      <c r="E4" s="29">
        <v>0.35</v>
      </c>
      <c r="F4" s="29">
        <v>0.35</v>
      </c>
      <c r="G4" s="29">
        <v>0.35</v>
      </c>
      <c r="H4" s="29">
        <v>0.35</v>
      </c>
      <c r="I4" s="29">
        <v>0.35</v>
      </c>
      <c r="J4" s="29">
        <v>0.35</v>
      </c>
      <c r="K4" s="29">
        <v>0.35</v>
      </c>
      <c r="L4" s="29">
        <v>0.35</v>
      </c>
      <c r="M4" s="29">
        <v>0.35</v>
      </c>
      <c r="N4" s="29">
        <v>0.35</v>
      </c>
      <c r="O4" s="29">
        <v>0.35</v>
      </c>
      <c r="P4" s="29">
        <v>0.35</v>
      </c>
      <c r="Q4" s="29">
        <v>0.35</v>
      </c>
      <c r="R4" s="29">
        <v>0.35</v>
      </c>
      <c r="S4" s="29">
        <v>0.35</v>
      </c>
      <c r="T4" s="29">
        <v>0.35</v>
      </c>
      <c r="U4" s="29">
        <v>0.35</v>
      </c>
      <c r="V4" s="29">
        <v>0.35</v>
      </c>
      <c r="W4" s="29">
        <v>0.35</v>
      </c>
      <c r="X4" s="29">
        <v>0.35</v>
      </c>
      <c r="Y4" s="29">
        <v>0.35</v>
      </c>
      <c r="Z4" s="29">
        <v>0.35</v>
      </c>
      <c r="AA4" s="29">
        <v>0.35</v>
      </c>
      <c r="AB4" s="29">
        <v>0.35</v>
      </c>
    </row>
    <row r="5" spans="1:28" x14ac:dyDescent="0.25">
      <c r="A5" s="18" t="s">
        <v>32</v>
      </c>
      <c r="B5" s="29">
        <v>0.5</v>
      </c>
      <c r="C5" s="30">
        <f>B5+0.005</f>
        <v>0.505</v>
      </c>
      <c r="D5" s="30">
        <f t="shared" ref="D5:U5" si="0">C5+0.005</f>
        <v>0.51</v>
      </c>
      <c r="E5" s="30">
        <f t="shared" si="0"/>
        <v>0.51500000000000001</v>
      </c>
      <c r="F5" s="30">
        <f t="shared" si="0"/>
        <v>0.52</v>
      </c>
      <c r="G5" s="30">
        <f t="shared" si="0"/>
        <v>0.52500000000000002</v>
      </c>
      <c r="H5" s="30">
        <f t="shared" si="0"/>
        <v>0.53</v>
      </c>
      <c r="I5" s="30">
        <f t="shared" si="0"/>
        <v>0.53500000000000003</v>
      </c>
      <c r="J5" s="30">
        <f t="shared" si="0"/>
        <v>0.54</v>
      </c>
      <c r="K5" s="30">
        <f t="shared" si="0"/>
        <v>0.54500000000000004</v>
      </c>
      <c r="L5" s="30">
        <f t="shared" si="0"/>
        <v>0.55000000000000004</v>
      </c>
      <c r="M5" s="30">
        <f t="shared" si="0"/>
        <v>0.55500000000000005</v>
      </c>
      <c r="N5" s="30">
        <f t="shared" si="0"/>
        <v>0.56000000000000005</v>
      </c>
      <c r="O5" s="30">
        <f t="shared" si="0"/>
        <v>0.56500000000000006</v>
      </c>
      <c r="P5" s="30">
        <f t="shared" si="0"/>
        <v>0.57000000000000006</v>
      </c>
      <c r="Q5" s="30">
        <f t="shared" si="0"/>
        <v>0.57500000000000007</v>
      </c>
      <c r="R5" s="30">
        <f t="shared" si="0"/>
        <v>0.58000000000000007</v>
      </c>
      <c r="S5" s="30">
        <f t="shared" si="0"/>
        <v>0.58500000000000008</v>
      </c>
      <c r="T5" s="30">
        <f t="shared" si="0"/>
        <v>0.59000000000000008</v>
      </c>
      <c r="U5" s="30">
        <f t="shared" si="0"/>
        <v>0.59500000000000008</v>
      </c>
      <c r="V5" s="30">
        <f>U5</f>
        <v>0.59500000000000008</v>
      </c>
      <c r="W5" s="30">
        <f t="shared" ref="W5:AB5" si="1">V5</f>
        <v>0.59500000000000008</v>
      </c>
      <c r="X5" s="30">
        <f t="shared" si="1"/>
        <v>0.59500000000000008</v>
      </c>
      <c r="Y5" s="30">
        <f t="shared" si="1"/>
        <v>0.59500000000000008</v>
      </c>
      <c r="Z5" s="30">
        <f t="shared" si="1"/>
        <v>0.59500000000000008</v>
      </c>
      <c r="AA5" s="30">
        <f t="shared" si="1"/>
        <v>0.59500000000000008</v>
      </c>
      <c r="AB5" s="30">
        <f t="shared" si="1"/>
        <v>0.59500000000000008</v>
      </c>
    </row>
    <row r="6" spans="1:28" x14ac:dyDescent="0.25">
      <c r="A6" s="18" t="s">
        <v>33</v>
      </c>
      <c r="B6" s="29">
        <v>0.35</v>
      </c>
      <c r="C6" s="30">
        <f>B6+0.001</f>
        <v>0.35099999999999998</v>
      </c>
      <c r="D6" s="30">
        <f t="shared" ref="D6:AB6" si="2">C6+0.001</f>
        <v>0.35199999999999998</v>
      </c>
      <c r="E6" s="30">
        <f t="shared" si="2"/>
        <v>0.35299999999999998</v>
      </c>
      <c r="F6" s="30">
        <f t="shared" si="2"/>
        <v>0.35399999999999998</v>
      </c>
      <c r="G6" s="30">
        <f t="shared" si="2"/>
        <v>0.35499999999999998</v>
      </c>
      <c r="H6" s="30">
        <f t="shared" si="2"/>
        <v>0.35599999999999998</v>
      </c>
      <c r="I6" s="30">
        <f t="shared" si="2"/>
        <v>0.35699999999999998</v>
      </c>
      <c r="J6" s="30">
        <f t="shared" si="2"/>
        <v>0.35799999999999998</v>
      </c>
      <c r="K6" s="30">
        <f t="shared" si="2"/>
        <v>0.35899999999999999</v>
      </c>
      <c r="L6" s="30">
        <f t="shared" si="2"/>
        <v>0.36</v>
      </c>
      <c r="M6" s="30">
        <f t="shared" si="2"/>
        <v>0.36099999999999999</v>
      </c>
      <c r="N6" s="30">
        <f t="shared" si="2"/>
        <v>0.36199999999999999</v>
      </c>
      <c r="O6" s="30">
        <f t="shared" si="2"/>
        <v>0.36299999999999999</v>
      </c>
      <c r="P6" s="30">
        <f t="shared" si="2"/>
        <v>0.36399999999999999</v>
      </c>
      <c r="Q6" s="30">
        <f t="shared" si="2"/>
        <v>0.36499999999999999</v>
      </c>
      <c r="R6" s="30">
        <f t="shared" si="2"/>
        <v>0.36599999999999999</v>
      </c>
      <c r="S6" s="30">
        <f t="shared" si="2"/>
        <v>0.36699999999999999</v>
      </c>
      <c r="T6" s="30">
        <f t="shared" si="2"/>
        <v>0.36799999999999999</v>
      </c>
      <c r="U6" s="30">
        <f t="shared" si="2"/>
        <v>0.36899999999999999</v>
      </c>
      <c r="V6" s="30">
        <f t="shared" si="2"/>
        <v>0.37</v>
      </c>
      <c r="W6" s="30">
        <f t="shared" si="2"/>
        <v>0.371</v>
      </c>
      <c r="X6" s="30">
        <f t="shared" si="2"/>
        <v>0.372</v>
      </c>
      <c r="Y6" s="30">
        <f t="shared" si="2"/>
        <v>0.373</v>
      </c>
      <c r="Z6" s="30">
        <f t="shared" si="2"/>
        <v>0.374</v>
      </c>
      <c r="AA6" s="30">
        <f t="shared" si="2"/>
        <v>0.375</v>
      </c>
      <c r="AB6" s="30">
        <f t="shared" si="2"/>
        <v>0.376</v>
      </c>
    </row>
    <row r="7" spans="1:28" x14ac:dyDescent="0.25">
      <c r="A7" s="18" t="s">
        <v>34</v>
      </c>
      <c r="B7" s="29">
        <v>0.34</v>
      </c>
      <c r="C7" s="30">
        <f>B7+0.001</f>
        <v>0.34100000000000003</v>
      </c>
      <c r="D7" s="30">
        <f t="shared" ref="D7:AB7" si="3">C7+0.001</f>
        <v>0.34200000000000003</v>
      </c>
      <c r="E7" s="30">
        <f t="shared" si="3"/>
        <v>0.34300000000000003</v>
      </c>
      <c r="F7" s="30">
        <f t="shared" si="3"/>
        <v>0.34400000000000003</v>
      </c>
      <c r="G7" s="30">
        <f t="shared" si="3"/>
        <v>0.34500000000000003</v>
      </c>
      <c r="H7" s="30">
        <f t="shared" si="3"/>
        <v>0.34600000000000003</v>
      </c>
      <c r="I7" s="30">
        <f t="shared" si="3"/>
        <v>0.34700000000000003</v>
      </c>
      <c r="J7" s="30">
        <f t="shared" si="3"/>
        <v>0.34800000000000003</v>
      </c>
      <c r="K7" s="30">
        <f t="shared" si="3"/>
        <v>0.34900000000000003</v>
      </c>
      <c r="L7" s="30">
        <f t="shared" si="3"/>
        <v>0.35000000000000003</v>
      </c>
      <c r="M7" s="30">
        <f t="shared" si="3"/>
        <v>0.35100000000000003</v>
      </c>
      <c r="N7" s="30">
        <f t="shared" si="3"/>
        <v>0.35200000000000004</v>
      </c>
      <c r="O7" s="30">
        <f t="shared" si="3"/>
        <v>0.35300000000000004</v>
      </c>
      <c r="P7" s="30">
        <f t="shared" si="3"/>
        <v>0.35400000000000004</v>
      </c>
      <c r="Q7" s="30">
        <f t="shared" si="3"/>
        <v>0.35500000000000004</v>
      </c>
      <c r="R7" s="30">
        <f t="shared" si="3"/>
        <v>0.35600000000000004</v>
      </c>
      <c r="S7" s="30">
        <f t="shared" si="3"/>
        <v>0.35700000000000004</v>
      </c>
      <c r="T7" s="30">
        <f t="shared" si="3"/>
        <v>0.35800000000000004</v>
      </c>
      <c r="U7" s="30">
        <f t="shared" si="3"/>
        <v>0.35900000000000004</v>
      </c>
      <c r="V7" s="30">
        <f t="shared" si="3"/>
        <v>0.36000000000000004</v>
      </c>
      <c r="W7" s="30">
        <f t="shared" si="3"/>
        <v>0.36100000000000004</v>
      </c>
      <c r="X7" s="30">
        <f t="shared" si="3"/>
        <v>0.36200000000000004</v>
      </c>
      <c r="Y7" s="30">
        <f t="shared" si="3"/>
        <v>0.36300000000000004</v>
      </c>
      <c r="Z7" s="30">
        <f t="shared" si="3"/>
        <v>0.36400000000000005</v>
      </c>
      <c r="AA7" s="30">
        <f t="shared" si="3"/>
        <v>0.36500000000000005</v>
      </c>
      <c r="AB7" s="30">
        <f t="shared" si="3"/>
        <v>0.36600000000000005</v>
      </c>
    </row>
  </sheetData>
  <phoneticPr fontId="4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C085-1D37-4EC2-B7E1-A89B7AC3CAC0}">
  <sheetPr>
    <tabColor rgb="FF00B050"/>
  </sheetPr>
  <dimension ref="A1:CP62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45" sqref="E45"/>
    </sheetView>
  </sheetViews>
  <sheetFormatPr defaultColWidth="9.140625" defaultRowHeight="15" x14ac:dyDescent="0.25"/>
  <cols>
    <col min="1" max="1" width="64.140625" style="1" bestFit="1" customWidth="1"/>
    <col min="2" max="69" width="18.5703125" style="1" customWidth="1"/>
    <col min="70" max="70" width="19.7109375" style="1" customWidth="1"/>
    <col min="71" max="80" width="18.5703125" style="1" customWidth="1"/>
    <col min="81" max="81" width="18.42578125" style="1" customWidth="1"/>
    <col min="82" max="82" width="19.28515625" style="1" customWidth="1"/>
    <col min="83" max="83" width="25.42578125" style="1" customWidth="1"/>
    <col min="84" max="84" width="15.5703125" style="1" customWidth="1"/>
    <col min="85" max="85" width="16.7109375" style="1" customWidth="1"/>
    <col min="86" max="86" width="16.85546875" style="1" customWidth="1"/>
    <col min="87" max="87" width="12" style="1" customWidth="1"/>
    <col min="88" max="88" width="14.140625" style="1" customWidth="1"/>
    <col min="89" max="89" width="14" style="1" customWidth="1"/>
    <col min="90" max="90" width="14.85546875" style="1" customWidth="1"/>
    <col min="91" max="91" width="13.28515625" style="1" customWidth="1"/>
    <col min="92" max="92" width="14" style="1" customWidth="1"/>
    <col min="93" max="94" width="12.42578125" style="1" customWidth="1"/>
    <col min="95" max="16384" width="9.140625" style="1"/>
  </cols>
  <sheetData>
    <row r="1" spans="1:94" x14ac:dyDescent="0.2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9" t="s">
        <v>36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20" t="s">
        <v>37</v>
      </c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42" t="s">
        <v>38</v>
      </c>
      <c r="CD1" s="42"/>
      <c r="CE1" s="42"/>
      <c r="CF1" s="43" t="s">
        <v>39</v>
      </c>
      <c r="CG1" s="44"/>
      <c r="CH1" s="44"/>
      <c r="CI1" s="44"/>
      <c r="CJ1" s="45"/>
      <c r="CK1" s="100"/>
      <c r="CL1" s="100"/>
      <c r="CM1" s="100"/>
      <c r="CN1" s="100"/>
      <c r="CO1" s="100"/>
      <c r="CP1" s="100"/>
    </row>
    <row r="2" spans="1:94" s="14" customFormat="1" ht="66.75" customHeight="1" x14ac:dyDescent="0.25">
      <c r="A2" s="17" t="s">
        <v>0</v>
      </c>
      <c r="B2" s="17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7" t="s">
        <v>46</v>
      </c>
      <c r="I2" s="17" t="s">
        <v>47</v>
      </c>
      <c r="J2" s="21" t="s">
        <v>48</v>
      </c>
      <c r="K2" s="21" t="s">
        <v>49</v>
      </c>
      <c r="L2" s="21" t="s">
        <v>50</v>
      </c>
      <c r="M2" s="21" t="s">
        <v>51</v>
      </c>
      <c r="N2" s="21" t="s">
        <v>52</v>
      </c>
      <c r="O2" s="21" t="s">
        <v>53</v>
      </c>
      <c r="P2" s="21" t="s">
        <v>54</v>
      </c>
      <c r="Q2" s="21" t="s">
        <v>55</v>
      </c>
      <c r="R2" s="21" t="s">
        <v>56</v>
      </c>
      <c r="S2" s="21" t="s">
        <v>57</v>
      </c>
      <c r="T2" s="21" t="s">
        <v>58</v>
      </c>
      <c r="U2" s="21" t="s">
        <v>59</v>
      </c>
      <c r="V2" s="21" t="s">
        <v>60</v>
      </c>
      <c r="W2" s="21" t="s">
        <v>61</v>
      </c>
      <c r="X2" s="21" t="s">
        <v>62</v>
      </c>
      <c r="Y2" s="21" t="s">
        <v>63</v>
      </c>
      <c r="Z2" s="21" t="s">
        <v>64</v>
      </c>
      <c r="AA2" s="21" t="s">
        <v>65</v>
      </c>
      <c r="AB2" s="21" t="s">
        <v>66</v>
      </c>
      <c r="AC2" s="21" t="s">
        <v>67</v>
      </c>
      <c r="AD2" s="21" t="s">
        <v>68</v>
      </c>
      <c r="AE2" s="21" t="s">
        <v>69</v>
      </c>
      <c r="AF2" s="21" t="s">
        <v>70</v>
      </c>
      <c r="AG2" s="21" t="s">
        <v>71</v>
      </c>
      <c r="AH2" s="21" t="s">
        <v>72</v>
      </c>
      <c r="AI2" s="21" t="s">
        <v>73</v>
      </c>
      <c r="AJ2" s="21" t="s">
        <v>74</v>
      </c>
      <c r="AK2" s="21" t="s">
        <v>75</v>
      </c>
      <c r="AL2" s="21" t="s">
        <v>76</v>
      </c>
      <c r="AM2" s="21" t="s">
        <v>77</v>
      </c>
      <c r="AN2" s="21" t="s">
        <v>78</v>
      </c>
      <c r="AO2" s="21" t="s">
        <v>79</v>
      </c>
      <c r="AP2" s="21" t="s">
        <v>80</v>
      </c>
      <c r="AQ2" s="21" t="s">
        <v>81</v>
      </c>
      <c r="AR2" s="21" t="s">
        <v>82</v>
      </c>
      <c r="AS2" s="21" t="s">
        <v>83</v>
      </c>
      <c r="AT2" s="21" t="s">
        <v>84</v>
      </c>
      <c r="AU2" s="21" t="s">
        <v>85</v>
      </c>
      <c r="AV2" s="21" t="s">
        <v>86</v>
      </c>
      <c r="AW2" s="21" t="s">
        <v>87</v>
      </c>
      <c r="AX2" s="21" t="s">
        <v>88</v>
      </c>
      <c r="AY2" s="21" t="s">
        <v>89</v>
      </c>
      <c r="AZ2" s="21" t="s">
        <v>90</v>
      </c>
      <c r="BA2" s="21" t="s">
        <v>91</v>
      </c>
      <c r="BB2" s="21" t="s">
        <v>92</v>
      </c>
      <c r="BC2" s="21" t="s">
        <v>93</v>
      </c>
      <c r="BD2" s="21" t="s">
        <v>94</v>
      </c>
      <c r="BE2" s="22" t="s">
        <v>95</v>
      </c>
      <c r="BF2" s="22" t="s">
        <v>96</v>
      </c>
      <c r="BG2" s="22" t="s">
        <v>97</v>
      </c>
      <c r="BH2" s="22" t="s">
        <v>98</v>
      </c>
      <c r="BI2" s="22" t="s">
        <v>99</v>
      </c>
      <c r="BJ2" s="22" t="s">
        <v>100</v>
      </c>
      <c r="BK2" s="22" t="s">
        <v>101</v>
      </c>
      <c r="BL2" s="22" t="s">
        <v>102</v>
      </c>
      <c r="BM2" s="22" t="s">
        <v>103</v>
      </c>
      <c r="BN2" s="22" t="s">
        <v>104</v>
      </c>
      <c r="BO2" s="22" t="s">
        <v>105</v>
      </c>
      <c r="BP2" s="22" t="s">
        <v>106</v>
      </c>
      <c r="BQ2" s="22" t="s">
        <v>107</v>
      </c>
      <c r="BR2" s="22" t="s">
        <v>108</v>
      </c>
      <c r="BS2" s="22" t="s">
        <v>109</v>
      </c>
      <c r="BT2" s="22" t="s">
        <v>110</v>
      </c>
      <c r="BU2" s="22" t="s">
        <v>111</v>
      </c>
      <c r="BV2" s="22" t="s">
        <v>108</v>
      </c>
      <c r="BW2" s="22" t="s">
        <v>109</v>
      </c>
      <c r="BX2" s="22" t="s">
        <v>110</v>
      </c>
      <c r="BY2" s="22" t="s">
        <v>111</v>
      </c>
      <c r="BZ2" s="22" t="s">
        <v>112</v>
      </c>
      <c r="CA2" s="22" t="s">
        <v>113</v>
      </c>
      <c r="CB2" s="22" t="s">
        <v>114</v>
      </c>
      <c r="CC2" s="46" t="s">
        <v>115</v>
      </c>
      <c r="CD2" s="46" t="s">
        <v>116</v>
      </c>
      <c r="CE2" s="46" t="s">
        <v>117</v>
      </c>
      <c r="CF2" s="46" t="s">
        <v>118</v>
      </c>
      <c r="CG2" s="46" t="s">
        <v>119</v>
      </c>
      <c r="CH2" s="46" t="s">
        <v>120</v>
      </c>
      <c r="CI2" s="46" t="s">
        <v>121</v>
      </c>
      <c r="CJ2" s="46" t="s">
        <v>71</v>
      </c>
      <c r="CK2" s="46" t="s">
        <v>122</v>
      </c>
      <c r="CL2" s="46" t="s">
        <v>123</v>
      </c>
      <c r="CM2" s="46" t="s">
        <v>124</v>
      </c>
      <c r="CN2" s="46" t="s">
        <v>125</v>
      </c>
      <c r="CO2" s="46" t="s">
        <v>126</v>
      </c>
      <c r="CP2" s="46" t="s">
        <v>127</v>
      </c>
    </row>
    <row r="3" spans="1:94" s="14" customFormat="1" ht="30" x14ac:dyDescent="0.25">
      <c r="A3" s="17"/>
      <c r="B3" s="17"/>
      <c r="C3" s="17"/>
      <c r="D3" s="17"/>
      <c r="E3" s="23" t="s">
        <v>128</v>
      </c>
      <c r="F3" s="23" t="s">
        <v>128</v>
      </c>
      <c r="G3" s="17" t="s">
        <v>128</v>
      </c>
      <c r="H3" s="17" t="s">
        <v>128</v>
      </c>
      <c r="I3" s="17" t="s">
        <v>128</v>
      </c>
      <c r="J3" s="21" t="s">
        <v>129</v>
      </c>
      <c r="K3" s="21" t="s">
        <v>129</v>
      </c>
      <c r="L3" s="21" t="s">
        <v>129</v>
      </c>
      <c r="M3" s="21" t="s">
        <v>129</v>
      </c>
      <c r="N3" s="21" t="s">
        <v>130</v>
      </c>
      <c r="O3" s="21" t="s">
        <v>131</v>
      </c>
      <c r="P3" s="21" t="s">
        <v>131</v>
      </c>
      <c r="Q3" s="21" t="s">
        <v>131</v>
      </c>
      <c r="R3" s="21" t="s">
        <v>131</v>
      </c>
      <c r="S3" s="21"/>
      <c r="T3" s="21" t="s">
        <v>132</v>
      </c>
      <c r="U3" s="21" t="s">
        <v>131</v>
      </c>
      <c r="V3" s="21"/>
      <c r="W3" s="21" t="s">
        <v>131</v>
      </c>
      <c r="X3" s="21" t="s">
        <v>132</v>
      </c>
      <c r="Y3" s="21" t="s">
        <v>131</v>
      </c>
      <c r="Z3" s="21" t="s">
        <v>133</v>
      </c>
      <c r="AA3" s="21" t="s">
        <v>134</v>
      </c>
      <c r="AB3" s="21" t="s">
        <v>128</v>
      </c>
      <c r="AC3" s="21" t="s">
        <v>135</v>
      </c>
      <c r="AD3" s="21" t="s">
        <v>135</v>
      </c>
      <c r="AE3" s="21" t="s">
        <v>136</v>
      </c>
      <c r="AF3" s="21" t="s">
        <v>136</v>
      </c>
      <c r="AG3" s="21" t="s">
        <v>137</v>
      </c>
      <c r="AH3" s="21" t="s">
        <v>131</v>
      </c>
      <c r="AI3" s="21" t="s">
        <v>131</v>
      </c>
      <c r="AJ3" s="21" t="s">
        <v>138</v>
      </c>
      <c r="AK3" s="21" t="s">
        <v>138</v>
      </c>
      <c r="AL3" s="21"/>
      <c r="AM3" s="21"/>
      <c r="AN3" s="21"/>
      <c r="AO3" s="21"/>
      <c r="AP3" s="21" t="s">
        <v>139</v>
      </c>
      <c r="AQ3" s="21" t="s">
        <v>140</v>
      </c>
      <c r="AR3" s="21" t="s">
        <v>141</v>
      </c>
      <c r="AS3" s="21"/>
      <c r="AT3" s="21" t="s">
        <v>142</v>
      </c>
      <c r="AU3" s="21" t="s">
        <v>128</v>
      </c>
      <c r="AV3" s="21" t="s">
        <v>131</v>
      </c>
      <c r="AW3" s="21" t="s">
        <v>131</v>
      </c>
      <c r="AX3" s="21" t="s">
        <v>131</v>
      </c>
      <c r="AY3" s="21" t="s">
        <v>131</v>
      </c>
      <c r="AZ3" s="21" t="s">
        <v>131</v>
      </c>
      <c r="BA3" s="21"/>
      <c r="BB3" s="21"/>
      <c r="BC3" s="21" t="s">
        <v>128</v>
      </c>
      <c r="BD3" s="21"/>
      <c r="BE3" s="22" t="s">
        <v>143</v>
      </c>
      <c r="BF3" s="22" t="s">
        <v>143</v>
      </c>
      <c r="BG3" s="22" t="s">
        <v>144</v>
      </c>
      <c r="BH3" s="22" t="s">
        <v>145</v>
      </c>
      <c r="BI3" s="22" t="s">
        <v>145</v>
      </c>
      <c r="BJ3" s="22" t="s">
        <v>145</v>
      </c>
      <c r="BK3" s="22" t="s">
        <v>145</v>
      </c>
      <c r="BL3" s="22" t="s">
        <v>146</v>
      </c>
      <c r="BM3" s="22" t="s">
        <v>145</v>
      </c>
      <c r="BN3" s="22" t="s">
        <v>145</v>
      </c>
      <c r="BO3" s="22"/>
      <c r="BP3" s="22" t="s">
        <v>147</v>
      </c>
      <c r="BQ3" s="22" t="s">
        <v>148</v>
      </c>
      <c r="BR3" s="22" t="s">
        <v>149</v>
      </c>
      <c r="BS3" s="22" t="s">
        <v>149</v>
      </c>
      <c r="BT3" s="22" t="s">
        <v>149</v>
      </c>
      <c r="BU3" s="22" t="s">
        <v>149</v>
      </c>
      <c r="BV3" s="22" t="s">
        <v>150</v>
      </c>
      <c r="BW3" s="22" t="s">
        <v>150</v>
      </c>
      <c r="BX3" s="22" t="s">
        <v>150</v>
      </c>
      <c r="BY3" s="22" t="s">
        <v>150</v>
      </c>
      <c r="BZ3" s="22" t="s">
        <v>151</v>
      </c>
      <c r="CA3" s="22" t="s">
        <v>151</v>
      </c>
      <c r="CB3" s="22" t="s">
        <v>152</v>
      </c>
      <c r="CC3" s="46" t="s">
        <v>143</v>
      </c>
      <c r="CD3" s="46" t="s">
        <v>153</v>
      </c>
      <c r="CE3" s="46" t="s">
        <v>154</v>
      </c>
      <c r="CF3" s="46" t="s">
        <v>131</v>
      </c>
      <c r="CG3" s="46" t="s">
        <v>155</v>
      </c>
      <c r="CH3" s="46" t="s">
        <v>156</v>
      </c>
      <c r="CI3" s="46" t="s">
        <v>157</v>
      </c>
      <c r="CJ3" s="46" t="s">
        <v>158</v>
      </c>
      <c r="CK3" s="46" t="s">
        <v>159</v>
      </c>
      <c r="CL3" s="46" t="s">
        <v>159</v>
      </c>
      <c r="CM3" s="46" t="s">
        <v>159</v>
      </c>
      <c r="CN3" s="46" t="s">
        <v>160</v>
      </c>
      <c r="CO3" s="46" t="s">
        <v>160</v>
      </c>
      <c r="CP3" s="46" t="s">
        <v>160</v>
      </c>
    </row>
    <row r="4" spans="1:94" s="14" customFormat="1" x14ac:dyDescent="0.25">
      <c r="A4" s="17" t="s">
        <v>28</v>
      </c>
      <c r="B4" s="17" t="s">
        <v>161</v>
      </c>
      <c r="C4" s="17" t="s">
        <v>161</v>
      </c>
      <c r="D4" s="17" t="s">
        <v>162</v>
      </c>
      <c r="E4" s="23" t="s">
        <v>29</v>
      </c>
      <c r="F4" s="23" t="s">
        <v>29</v>
      </c>
      <c r="G4" s="17" t="s">
        <v>29</v>
      </c>
      <c r="H4" s="17" t="s">
        <v>29</v>
      </c>
      <c r="I4" s="17" t="s">
        <v>29</v>
      </c>
      <c r="J4" s="21" t="s">
        <v>29</v>
      </c>
      <c r="K4" s="21" t="s">
        <v>29</v>
      </c>
      <c r="L4" s="21" t="s">
        <v>29</v>
      </c>
      <c r="M4" s="21" t="s">
        <v>29</v>
      </c>
      <c r="N4" s="21" t="s">
        <v>29</v>
      </c>
      <c r="O4" s="21" t="s">
        <v>29</v>
      </c>
      <c r="P4" s="21" t="s">
        <v>29</v>
      </c>
      <c r="Q4" s="21" t="s">
        <v>29</v>
      </c>
      <c r="R4" s="21" t="s">
        <v>29</v>
      </c>
      <c r="S4" s="21" t="s">
        <v>163</v>
      </c>
      <c r="T4" s="21" t="s">
        <v>29</v>
      </c>
      <c r="U4" s="21" t="s">
        <v>29</v>
      </c>
      <c r="V4" s="21" t="s">
        <v>163</v>
      </c>
      <c r="W4" s="21" t="s">
        <v>29</v>
      </c>
      <c r="X4" s="21" t="s">
        <v>29</v>
      </c>
      <c r="Y4" s="21" t="s">
        <v>29</v>
      </c>
      <c r="Z4" s="21" t="s">
        <v>29</v>
      </c>
      <c r="AA4" s="21" t="s">
        <v>29</v>
      </c>
      <c r="AB4" s="21" t="s">
        <v>29</v>
      </c>
      <c r="AC4" s="21" t="s">
        <v>29</v>
      </c>
      <c r="AD4" s="21" t="s">
        <v>29</v>
      </c>
      <c r="AE4" s="21" t="s">
        <v>29</v>
      </c>
      <c r="AF4" s="21" t="s">
        <v>29</v>
      </c>
      <c r="AG4" s="21" t="s">
        <v>29</v>
      </c>
      <c r="AH4" s="21" t="s">
        <v>29</v>
      </c>
      <c r="AI4" s="21" t="s">
        <v>29</v>
      </c>
      <c r="AJ4" s="21" t="s">
        <v>29</v>
      </c>
      <c r="AK4" s="21" t="s">
        <v>29</v>
      </c>
      <c r="AL4" s="21" t="s">
        <v>29</v>
      </c>
      <c r="AM4" s="21" t="s">
        <v>29</v>
      </c>
      <c r="AN4" s="21" t="s">
        <v>29</v>
      </c>
      <c r="AO4" s="21" t="s">
        <v>29</v>
      </c>
      <c r="AP4" s="21" t="s">
        <v>29</v>
      </c>
      <c r="AQ4" s="21" t="s">
        <v>29</v>
      </c>
      <c r="AR4" s="21" t="s">
        <v>29</v>
      </c>
      <c r="AS4" s="21" t="s">
        <v>29</v>
      </c>
      <c r="AT4" s="21" t="s">
        <v>29</v>
      </c>
      <c r="AU4" s="21" t="s">
        <v>29</v>
      </c>
      <c r="AV4" s="21" t="s">
        <v>29</v>
      </c>
      <c r="AW4" s="21" t="s">
        <v>29</v>
      </c>
      <c r="AX4" s="21" t="s">
        <v>29</v>
      </c>
      <c r="AY4" s="21" t="s">
        <v>29</v>
      </c>
      <c r="AZ4" s="21" t="s">
        <v>29</v>
      </c>
      <c r="BA4" s="21" t="s">
        <v>163</v>
      </c>
      <c r="BB4" s="21" t="s">
        <v>29</v>
      </c>
      <c r="BC4" s="21" t="s">
        <v>29</v>
      </c>
      <c r="BD4" s="21" t="s">
        <v>163</v>
      </c>
      <c r="BE4" s="22" t="s">
        <v>29</v>
      </c>
      <c r="BF4" s="22" t="s">
        <v>29</v>
      </c>
      <c r="BG4" s="22" t="s">
        <v>29</v>
      </c>
      <c r="BH4" s="22" t="s">
        <v>29</v>
      </c>
      <c r="BI4" s="22" t="s">
        <v>29</v>
      </c>
      <c r="BJ4" s="22" t="s">
        <v>29</v>
      </c>
      <c r="BK4" s="22" t="s">
        <v>29</v>
      </c>
      <c r="BL4" s="22"/>
      <c r="BM4" s="22" t="s">
        <v>29</v>
      </c>
      <c r="BN4" s="22" t="s">
        <v>29</v>
      </c>
      <c r="BO4" s="22" t="s">
        <v>29</v>
      </c>
      <c r="BP4" s="22" t="s">
        <v>29</v>
      </c>
      <c r="BQ4" s="22" t="s">
        <v>29</v>
      </c>
      <c r="BR4" s="22" t="s">
        <v>29</v>
      </c>
      <c r="BS4" s="22" t="s">
        <v>29</v>
      </c>
      <c r="BT4" s="22" t="s">
        <v>29</v>
      </c>
      <c r="BU4" s="22" t="s">
        <v>29</v>
      </c>
      <c r="BV4" s="22" t="s">
        <v>29</v>
      </c>
      <c r="BW4" s="22" t="s">
        <v>29</v>
      </c>
      <c r="BX4" s="22" t="s">
        <v>29</v>
      </c>
      <c r="BY4" s="22" t="s">
        <v>29</v>
      </c>
      <c r="BZ4" s="22" t="s">
        <v>29</v>
      </c>
      <c r="CA4" s="22" t="s">
        <v>29</v>
      </c>
      <c r="CB4" s="22" t="s">
        <v>29</v>
      </c>
      <c r="CC4" s="46" t="s">
        <v>29</v>
      </c>
      <c r="CD4" s="46" t="s">
        <v>29</v>
      </c>
      <c r="CE4" s="46" t="s">
        <v>29</v>
      </c>
      <c r="CF4" s="46" t="s">
        <v>29</v>
      </c>
      <c r="CG4" s="46" t="s">
        <v>29</v>
      </c>
      <c r="CH4" s="46" t="s">
        <v>29</v>
      </c>
      <c r="CI4" s="46" t="s">
        <v>29</v>
      </c>
      <c r="CJ4" s="46" t="s">
        <v>29</v>
      </c>
      <c r="CK4" s="46" t="s">
        <v>29</v>
      </c>
      <c r="CL4" s="46" t="s">
        <v>29</v>
      </c>
      <c r="CM4" s="46" t="s">
        <v>29</v>
      </c>
      <c r="CN4" s="46" t="s">
        <v>29</v>
      </c>
      <c r="CO4" s="46" t="s">
        <v>29</v>
      </c>
      <c r="CP4" s="46" t="s">
        <v>29</v>
      </c>
    </row>
    <row r="5" spans="1:94" ht="27" customHeight="1" x14ac:dyDescent="0.25">
      <c r="A5" s="2" t="s">
        <v>164</v>
      </c>
      <c r="B5" s="3" t="s">
        <v>165</v>
      </c>
      <c r="C5" s="3" t="s">
        <v>166</v>
      </c>
      <c r="D5" s="3">
        <v>2025</v>
      </c>
      <c r="E5" s="3">
        <v>380</v>
      </c>
      <c r="F5" s="3">
        <v>370</v>
      </c>
      <c r="G5" s="3"/>
      <c r="H5" s="3">
        <v>348</v>
      </c>
      <c r="I5" s="3">
        <v>389</v>
      </c>
      <c r="J5" s="3"/>
      <c r="K5" s="3"/>
      <c r="L5" s="3"/>
      <c r="M5" s="68"/>
      <c r="N5" s="3"/>
      <c r="O5" s="4"/>
      <c r="P5" s="4">
        <v>0.03</v>
      </c>
      <c r="Q5" s="3"/>
      <c r="R5" s="3"/>
      <c r="S5" s="3"/>
      <c r="T5" s="3"/>
      <c r="U5" s="3"/>
      <c r="V5" s="3"/>
      <c r="W5" s="3"/>
      <c r="X5" s="3"/>
      <c r="Y5" s="4">
        <v>3.5000000000000003E-2</v>
      </c>
      <c r="Z5" s="3"/>
      <c r="AA5" s="3">
        <v>12.8</v>
      </c>
      <c r="AB5" s="3"/>
      <c r="AC5" s="3"/>
      <c r="AD5" s="3"/>
      <c r="AE5" s="3">
        <v>7.47</v>
      </c>
      <c r="AF5" s="3">
        <v>6.38</v>
      </c>
      <c r="AG5" s="3"/>
      <c r="AH5" s="4"/>
      <c r="AI5" s="4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69">
        <v>2227.6</v>
      </c>
      <c r="BF5" s="3"/>
      <c r="BG5" s="70"/>
      <c r="BH5" s="69">
        <v>824901338</v>
      </c>
      <c r="BI5" s="69">
        <v>923889498.55999994</v>
      </c>
      <c r="BJ5" s="69">
        <v>577430936.5999999</v>
      </c>
      <c r="BK5" s="69">
        <v>23000000</v>
      </c>
      <c r="BL5" s="69">
        <v>1600000</v>
      </c>
      <c r="BM5" s="69">
        <v>98988160.560000002</v>
      </c>
      <c r="BN5" s="69">
        <v>247470401.4000001</v>
      </c>
      <c r="BO5" s="3"/>
      <c r="BP5" s="3"/>
      <c r="BQ5" s="3"/>
      <c r="BR5" s="69">
        <v>111000</v>
      </c>
      <c r="BS5" s="69">
        <v>17500</v>
      </c>
      <c r="BT5" s="69">
        <v>-23000</v>
      </c>
      <c r="BU5" s="69">
        <v>105500</v>
      </c>
      <c r="BV5" s="69"/>
      <c r="BW5" s="69"/>
      <c r="BX5" s="69"/>
      <c r="BY5" s="69"/>
      <c r="BZ5" s="69">
        <v>36000</v>
      </c>
      <c r="CA5" s="71"/>
      <c r="CB5" s="72">
        <v>5</v>
      </c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</row>
    <row r="6" spans="1:94" ht="27" customHeight="1" x14ac:dyDescent="0.25">
      <c r="A6" s="2" t="s">
        <v>167</v>
      </c>
      <c r="B6" s="3" t="s">
        <v>165</v>
      </c>
      <c r="C6" s="3" t="s">
        <v>166</v>
      </c>
      <c r="D6" s="3">
        <v>2025</v>
      </c>
      <c r="E6" s="3">
        <v>352</v>
      </c>
      <c r="F6" s="3">
        <v>320</v>
      </c>
      <c r="G6" s="3"/>
      <c r="H6" s="3">
        <v>301</v>
      </c>
      <c r="I6" s="3">
        <v>334</v>
      </c>
      <c r="J6" s="3"/>
      <c r="K6" s="3"/>
      <c r="L6" s="3"/>
      <c r="M6" s="68"/>
      <c r="N6" s="3"/>
      <c r="O6" s="4"/>
      <c r="P6" s="4">
        <v>0.09</v>
      </c>
      <c r="Q6" s="3"/>
      <c r="R6" s="3"/>
      <c r="S6" s="3"/>
      <c r="T6" s="3"/>
      <c r="U6" s="3"/>
      <c r="V6" s="3"/>
      <c r="W6" s="3"/>
      <c r="X6" s="3"/>
      <c r="Y6" s="4">
        <v>3.5000000000000003E-2</v>
      </c>
      <c r="Z6" s="3"/>
      <c r="AA6" s="3">
        <v>12.8</v>
      </c>
      <c r="AB6" s="3"/>
      <c r="AC6" s="3"/>
      <c r="AD6" s="3"/>
      <c r="AE6" s="3">
        <v>8.2899999999999991</v>
      </c>
      <c r="AF6" s="3">
        <v>7.41</v>
      </c>
      <c r="AG6" s="3"/>
      <c r="AH6" s="4"/>
      <c r="AI6" s="4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69">
        <v>6105.3</v>
      </c>
      <c r="BF6" s="3"/>
      <c r="BG6" s="3"/>
      <c r="BH6" s="69">
        <v>1989255559</v>
      </c>
      <c r="BI6" s="69">
        <v>2227966226.0799999</v>
      </c>
      <c r="BJ6" s="69">
        <v>577430936.5999999</v>
      </c>
      <c r="BK6" s="69">
        <v>23000000</v>
      </c>
      <c r="BL6" s="69">
        <v>1600000</v>
      </c>
      <c r="BM6" s="69">
        <v>238710667.07999998</v>
      </c>
      <c r="BN6" s="69">
        <v>247470401.4000001</v>
      </c>
      <c r="BO6" s="69">
        <v>1164354221</v>
      </c>
      <c r="BP6" s="3">
        <v>18.5</v>
      </c>
      <c r="BQ6" s="3">
        <v>0.1096</v>
      </c>
      <c r="BR6" s="69">
        <v>127500</v>
      </c>
      <c r="BS6" s="69">
        <v>20000</v>
      </c>
      <c r="BT6" s="69">
        <v>-26500</v>
      </c>
      <c r="BU6" s="69">
        <v>121000</v>
      </c>
      <c r="BV6" s="69"/>
      <c r="BW6" s="69"/>
      <c r="BX6" s="69"/>
      <c r="BY6" s="69"/>
      <c r="BZ6" s="69">
        <v>46000</v>
      </c>
      <c r="CA6" s="71"/>
      <c r="CB6" s="73">
        <v>8</v>
      </c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7" customHeight="1" x14ac:dyDescent="0.25">
      <c r="A7" s="2" t="s">
        <v>168</v>
      </c>
      <c r="B7" s="3" t="s">
        <v>165</v>
      </c>
      <c r="C7" s="3" t="s">
        <v>166</v>
      </c>
      <c r="D7" s="3">
        <v>2025</v>
      </c>
      <c r="E7" s="3">
        <v>365</v>
      </c>
      <c r="F7" s="3">
        <v>338</v>
      </c>
      <c r="G7" s="3"/>
      <c r="H7" s="3">
        <v>318</v>
      </c>
      <c r="I7" s="3">
        <v>354</v>
      </c>
      <c r="J7" s="3"/>
      <c r="K7" s="3"/>
      <c r="L7" s="3"/>
      <c r="M7" s="68"/>
      <c r="N7" s="3"/>
      <c r="O7" s="4"/>
      <c r="P7" s="4">
        <v>7.0000000000000007E-2</v>
      </c>
      <c r="Q7" s="3"/>
      <c r="R7" s="3"/>
      <c r="S7" s="3"/>
      <c r="T7" s="3"/>
      <c r="U7" s="3"/>
      <c r="V7" s="3"/>
      <c r="W7" s="3"/>
      <c r="X7" s="3"/>
      <c r="Y7" s="4">
        <v>3.5000000000000003E-2</v>
      </c>
      <c r="Z7" s="3"/>
      <c r="AA7" s="3">
        <v>12.8</v>
      </c>
      <c r="AB7" s="3"/>
      <c r="AC7" s="3"/>
      <c r="AD7" s="3"/>
      <c r="AE7" s="3">
        <v>7.76</v>
      </c>
      <c r="AF7" s="3">
        <v>7</v>
      </c>
      <c r="AG7" s="3"/>
      <c r="AH7" s="4"/>
      <c r="AI7" s="4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69">
        <v>5206.1000000000004</v>
      </c>
      <c r="BF7" s="3"/>
      <c r="BG7" s="3"/>
      <c r="BH7" s="69">
        <v>1786472973</v>
      </c>
      <c r="BI7" s="69">
        <v>2000849729.76</v>
      </c>
      <c r="BJ7" s="69">
        <v>577430936.5999999</v>
      </c>
      <c r="BK7" s="69">
        <v>23000000</v>
      </c>
      <c r="BL7" s="69">
        <v>1600000</v>
      </c>
      <c r="BM7" s="69">
        <v>214376756.75999999</v>
      </c>
      <c r="BN7" s="69">
        <v>247470401.4000001</v>
      </c>
      <c r="BO7" s="69">
        <v>961571635</v>
      </c>
      <c r="BP7" s="3">
        <v>18.5</v>
      </c>
      <c r="BQ7" s="3">
        <v>0.1096</v>
      </c>
      <c r="BR7" s="69">
        <v>121000</v>
      </c>
      <c r="BS7" s="69">
        <v>19000</v>
      </c>
      <c r="BT7" s="69">
        <v>-24500</v>
      </c>
      <c r="BU7" s="69">
        <v>115500</v>
      </c>
      <c r="BV7" s="69"/>
      <c r="BW7" s="69"/>
      <c r="BX7" s="69"/>
      <c r="BY7" s="69"/>
      <c r="BZ7" s="69">
        <v>44000</v>
      </c>
      <c r="CA7" s="71"/>
      <c r="CB7" s="73">
        <v>7</v>
      </c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</row>
    <row r="8" spans="1:94" ht="35.25" customHeight="1" x14ac:dyDescent="0.25">
      <c r="A8" s="2" t="s">
        <v>169</v>
      </c>
      <c r="B8" s="3" t="s">
        <v>165</v>
      </c>
      <c r="C8" s="3" t="s">
        <v>170</v>
      </c>
      <c r="D8" s="3">
        <v>2025</v>
      </c>
      <c r="E8" s="3">
        <v>191</v>
      </c>
      <c r="F8" s="3">
        <v>186</v>
      </c>
      <c r="G8" s="3"/>
      <c r="H8" s="3">
        <v>175</v>
      </c>
      <c r="I8" s="3">
        <v>197</v>
      </c>
      <c r="J8" s="3">
        <v>40</v>
      </c>
      <c r="K8" s="3">
        <v>25</v>
      </c>
      <c r="L8" s="3">
        <v>1.5</v>
      </c>
      <c r="M8" s="3"/>
      <c r="N8" s="3"/>
      <c r="O8" s="4">
        <v>0.5</v>
      </c>
      <c r="P8" s="4">
        <v>0.02</v>
      </c>
      <c r="Q8" s="3"/>
      <c r="R8" s="3"/>
      <c r="S8" s="3"/>
      <c r="T8" s="3"/>
      <c r="U8" s="3"/>
      <c r="V8" s="3"/>
      <c r="W8" s="3"/>
      <c r="X8" s="3"/>
      <c r="Y8" s="4">
        <v>2.3E-2</v>
      </c>
      <c r="Z8" s="3"/>
      <c r="AA8" s="3">
        <v>7</v>
      </c>
      <c r="AB8" s="3"/>
      <c r="AC8" s="3">
        <v>20</v>
      </c>
      <c r="AD8" s="3">
        <v>20</v>
      </c>
      <c r="AE8" s="3">
        <v>10.6</v>
      </c>
      <c r="AF8" s="3">
        <v>10.6</v>
      </c>
      <c r="AG8" s="3"/>
      <c r="AH8" s="4"/>
      <c r="AI8" s="4"/>
      <c r="AJ8" s="3"/>
      <c r="AK8" s="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69">
        <v>2578.6</v>
      </c>
      <c r="BF8" s="3"/>
      <c r="BG8" s="3"/>
      <c r="BH8" s="69">
        <v>479266678</v>
      </c>
      <c r="BI8" s="69">
        <v>536778679.36000001</v>
      </c>
      <c r="BJ8" s="69">
        <v>335486674.59999996</v>
      </c>
      <c r="BK8" s="69">
        <v>23000000</v>
      </c>
      <c r="BL8" s="69">
        <v>1600000</v>
      </c>
      <c r="BM8" s="69">
        <v>57512001.359999999</v>
      </c>
      <c r="BN8" s="69">
        <v>143780003.40000004</v>
      </c>
      <c r="BO8" s="3"/>
      <c r="BP8" s="3"/>
      <c r="BQ8" s="3"/>
      <c r="BR8" s="69">
        <v>47500</v>
      </c>
      <c r="BS8" s="69">
        <v>7500</v>
      </c>
      <c r="BT8" s="69">
        <v>-24000</v>
      </c>
      <c r="BU8" s="69">
        <v>31000</v>
      </c>
      <c r="BV8" s="69"/>
      <c r="BW8" s="69"/>
      <c r="BX8" s="69"/>
      <c r="BY8" s="69"/>
      <c r="BZ8" s="69">
        <v>29000</v>
      </c>
      <c r="CA8" s="71"/>
      <c r="CB8" s="73">
        <v>10</v>
      </c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</row>
    <row r="9" spans="1:94" ht="39" customHeight="1" x14ac:dyDescent="0.25">
      <c r="A9" s="2" t="s">
        <v>171</v>
      </c>
      <c r="B9" s="3" t="s">
        <v>165</v>
      </c>
      <c r="C9" s="3" t="s">
        <v>170</v>
      </c>
      <c r="D9" s="3">
        <v>2025</v>
      </c>
      <c r="E9" s="3">
        <v>178</v>
      </c>
      <c r="F9" s="3">
        <v>174</v>
      </c>
      <c r="G9" s="3"/>
      <c r="H9" s="3">
        <v>163</v>
      </c>
      <c r="I9" s="3">
        <v>184</v>
      </c>
      <c r="J9" s="3">
        <v>40</v>
      </c>
      <c r="K9" s="3">
        <v>25</v>
      </c>
      <c r="L9" s="3">
        <v>1.5</v>
      </c>
      <c r="M9" s="3"/>
      <c r="N9" s="3"/>
      <c r="O9" s="4">
        <v>0.5</v>
      </c>
      <c r="P9" s="4">
        <v>0.02</v>
      </c>
      <c r="Q9" s="3"/>
      <c r="R9" s="3"/>
      <c r="S9" s="3"/>
      <c r="T9" s="3"/>
      <c r="U9" s="3"/>
      <c r="V9" s="3"/>
      <c r="W9" s="3"/>
      <c r="X9" s="3"/>
      <c r="Y9" s="4">
        <v>2.3E-2</v>
      </c>
      <c r="Z9" s="3"/>
      <c r="AA9" s="3">
        <v>7</v>
      </c>
      <c r="AB9" s="3"/>
      <c r="AC9" s="3">
        <v>25</v>
      </c>
      <c r="AD9" s="3">
        <v>25</v>
      </c>
      <c r="AE9" s="3">
        <v>10.8</v>
      </c>
      <c r="AF9" s="3">
        <v>10</v>
      </c>
      <c r="AG9" s="3"/>
      <c r="AH9" s="4"/>
      <c r="AI9" s="4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69">
        <v>2994.7</v>
      </c>
      <c r="BF9" s="3"/>
      <c r="BG9" s="3"/>
      <c r="BH9" s="69">
        <v>519852754</v>
      </c>
      <c r="BI9" s="69">
        <v>582235084.48000002</v>
      </c>
      <c r="BJ9" s="69">
        <v>363896927.79999995</v>
      </c>
      <c r="BK9" s="69">
        <v>23000000</v>
      </c>
      <c r="BL9" s="69">
        <v>1600000</v>
      </c>
      <c r="BM9" s="69">
        <v>62382330.479999997</v>
      </c>
      <c r="BN9" s="69">
        <v>155955826.20000005</v>
      </c>
      <c r="BO9" s="3"/>
      <c r="BP9" s="3"/>
      <c r="BQ9" s="3"/>
      <c r="BR9" s="69">
        <v>47500</v>
      </c>
      <c r="BS9" s="69">
        <v>7500</v>
      </c>
      <c r="BT9" s="69">
        <v>-18000</v>
      </c>
      <c r="BU9" s="69">
        <v>37000</v>
      </c>
      <c r="BV9" s="69"/>
      <c r="BW9" s="69"/>
      <c r="BX9" s="69"/>
      <c r="BY9" s="69"/>
      <c r="BZ9" s="69">
        <v>26000</v>
      </c>
      <c r="CA9" s="71"/>
      <c r="CB9" s="73">
        <v>10</v>
      </c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</row>
    <row r="10" spans="1:94" ht="39" customHeight="1" x14ac:dyDescent="0.25">
      <c r="A10" s="2" t="s">
        <v>172</v>
      </c>
      <c r="B10" s="3" t="s">
        <v>165</v>
      </c>
      <c r="C10" s="3" t="s">
        <v>170</v>
      </c>
      <c r="D10" s="3">
        <v>2025</v>
      </c>
      <c r="E10" s="3">
        <v>216</v>
      </c>
      <c r="F10" s="3">
        <v>211</v>
      </c>
      <c r="G10" s="3"/>
      <c r="H10" s="3">
        <v>198</v>
      </c>
      <c r="I10" s="3">
        <v>222</v>
      </c>
      <c r="J10" s="3">
        <v>40</v>
      </c>
      <c r="K10" s="3">
        <v>25</v>
      </c>
      <c r="L10" s="3">
        <v>2</v>
      </c>
      <c r="M10" s="3"/>
      <c r="N10" s="3"/>
      <c r="O10" s="4">
        <v>0.5</v>
      </c>
      <c r="P10" s="4">
        <v>0.02</v>
      </c>
      <c r="Q10" s="3"/>
      <c r="R10" s="3"/>
      <c r="S10" s="3"/>
      <c r="T10" s="3"/>
      <c r="U10" s="3"/>
      <c r="V10" s="3"/>
      <c r="W10" s="3"/>
      <c r="X10" s="3"/>
      <c r="Y10" s="4">
        <v>2.3E-2</v>
      </c>
      <c r="Z10" s="3"/>
      <c r="AA10" s="3">
        <v>7</v>
      </c>
      <c r="AB10" s="3"/>
      <c r="AC10" s="3">
        <v>25</v>
      </c>
      <c r="AD10" s="3">
        <v>25</v>
      </c>
      <c r="AE10" s="3">
        <v>10.8</v>
      </c>
      <c r="AF10" s="3">
        <v>10.3</v>
      </c>
      <c r="AG10" s="3"/>
      <c r="AH10" s="4"/>
      <c r="AI10" s="4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69">
        <v>2022.9</v>
      </c>
      <c r="BF10" s="3"/>
      <c r="BG10" s="3"/>
      <c r="BH10" s="69">
        <v>426705279</v>
      </c>
      <c r="BI10" s="69">
        <v>477909912.48000002</v>
      </c>
      <c r="BJ10" s="69">
        <v>298693695.29999995</v>
      </c>
      <c r="BK10" s="69">
        <v>23000000</v>
      </c>
      <c r="BL10" s="69">
        <v>1600000</v>
      </c>
      <c r="BM10" s="69">
        <v>51204633.479999997</v>
      </c>
      <c r="BN10" s="69">
        <v>128011583.70000005</v>
      </c>
      <c r="BO10" s="3"/>
      <c r="BP10" s="3"/>
      <c r="BQ10" s="3"/>
      <c r="BR10" s="69">
        <v>43000</v>
      </c>
      <c r="BS10" s="69">
        <v>7000</v>
      </c>
      <c r="BT10" s="69">
        <v>-12000</v>
      </c>
      <c r="BU10" s="69">
        <v>38000</v>
      </c>
      <c r="BV10" s="69"/>
      <c r="BW10" s="69"/>
      <c r="BX10" s="69"/>
      <c r="BY10" s="69"/>
      <c r="BZ10" s="69">
        <v>30000</v>
      </c>
      <c r="CA10" s="71"/>
      <c r="CB10" s="73">
        <v>11</v>
      </c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</row>
    <row r="11" spans="1:94" ht="39" customHeight="1" x14ac:dyDescent="0.25">
      <c r="A11" s="2" t="s">
        <v>173</v>
      </c>
      <c r="B11" s="3" t="s">
        <v>165</v>
      </c>
      <c r="C11" s="3" t="s">
        <v>170</v>
      </c>
      <c r="D11" s="3">
        <v>2025</v>
      </c>
      <c r="E11" s="3">
        <v>251</v>
      </c>
      <c r="F11" s="3">
        <v>246</v>
      </c>
      <c r="G11" s="3"/>
      <c r="H11" s="3">
        <v>232</v>
      </c>
      <c r="I11" s="3">
        <v>259</v>
      </c>
      <c r="J11" s="3">
        <v>40</v>
      </c>
      <c r="K11" s="3">
        <v>25</v>
      </c>
      <c r="L11" s="3">
        <v>2</v>
      </c>
      <c r="M11" s="3"/>
      <c r="N11" s="3"/>
      <c r="O11" s="4">
        <v>0.5</v>
      </c>
      <c r="P11" s="4">
        <v>0.02</v>
      </c>
      <c r="Q11" s="3"/>
      <c r="R11" s="3"/>
      <c r="S11" s="3"/>
      <c r="T11" s="3"/>
      <c r="U11" s="3"/>
      <c r="V11" s="3"/>
      <c r="W11" s="3"/>
      <c r="X11" s="3"/>
      <c r="Y11" s="4">
        <v>2.3E-2</v>
      </c>
      <c r="Z11" s="3"/>
      <c r="AA11" s="3">
        <v>7</v>
      </c>
      <c r="AB11" s="3"/>
      <c r="AC11" s="3">
        <v>90</v>
      </c>
      <c r="AD11" s="3">
        <v>90</v>
      </c>
      <c r="AE11" s="3">
        <v>13.8</v>
      </c>
      <c r="AF11" s="3">
        <v>10.8</v>
      </c>
      <c r="AG11" s="3"/>
      <c r="AH11" s="4"/>
      <c r="AI11" s="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69">
        <v>1574.5</v>
      </c>
      <c r="BF11" s="3"/>
      <c r="BG11" s="3"/>
      <c r="BH11" s="69">
        <v>387482822</v>
      </c>
      <c r="BI11" s="69">
        <v>433980760.63999999</v>
      </c>
      <c r="BJ11" s="69">
        <v>271237975.39999998</v>
      </c>
      <c r="BK11" s="69">
        <v>23000000</v>
      </c>
      <c r="BL11" s="69">
        <v>1600000</v>
      </c>
      <c r="BM11" s="69">
        <v>46497938.640000001</v>
      </c>
      <c r="BN11" s="69">
        <v>116244846.60000002</v>
      </c>
      <c r="BO11" s="3"/>
      <c r="BP11" s="3"/>
      <c r="BQ11" s="3"/>
      <c r="BR11" s="69">
        <v>48000</v>
      </c>
      <c r="BS11" s="69">
        <v>7500</v>
      </c>
      <c r="BT11" s="69">
        <v>-18500</v>
      </c>
      <c r="BU11" s="69">
        <v>37000</v>
      </c>
      <c r="BV11" s="69"/>
      <c r="BW11" s="69"/>
      <c r="BX11" s="69"/>
      <c r="BY11" s="69"/>
      <c r="BZ11" s="69">
        <v>23000</v>
      </c>
      <c r="CA11" s="71"/>
      <c r="CB11" s="73">
        <v>11</v>
      </c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</row>
    <row r="12" spans="1:94" ht="36.75" customHeight="1" x14ac:dyDescent="0.25">
      <c r="A12" s="2" t="s">
        <v>174</v>
      </c>
      <c r="B12" s="3" t="s">
        <v>165</v>
      </c>
      <c r="C12" s="3" t="s">
        <v>170</v>
      </c>
      <c r="D12" s="3">
        <v>2025</v>
      </c>
      <c r="E12" s="3">
        <v>221</v>
      </c>
      <c r="F12" s="3">
        <v>217</v>
      </c>
      <c r="G12" s="3"/>
      <c r="H12" s="3">
        <v>217</v>
      </c>
      <c r="I12" s="3">
        <v>217</v>
      </c>
      <c r="J12" s="3">
        <v>40</v>
      </c>
      <c r="K12" s="3">
        <v>25</v>
      </c>
      <c r="L12" s="3">
        <v>2</v>
      </c>
      <c r="M12" s="3">
        <v>1</v>
      </c>
      <c r="N12" s="3">
        <v>80</v>
      </c>
      <c r="O12" s="4">
        <v>0.4</v>
      </c>
      <c r="P12" s="4">
        <v>1.7999999999999999E-2</v>
      </c>
      <c r="Q12" s="3"/>
      <c r="R12" s="3"/>
      <c r="S12" s="3"/>
      <c r="T12" s="3"/>
      <c r="U12" s="3"/>
      <c r="V12" s="3"/>
      <c r="W12" s="3"/>
      <c r="X12" s="3"/>
      <c r="Y12" s="4">
        <v>0.02</v>
      </c>
      <c r="Z12" s="3"/>
      <c r="AA12" s="3">
        <v>2.7</v>
      </c>
      <c r="AB12" s="3"/>
      <c r="AC12" s="3">
        <v>36</v>
      </c>
      <c r="AD12" s="3">
        <v>36</v>
      </c>
      <c r="AE12" s="3">
        <v>11.356</v>
      </c>
      <c r="AF12" s="3">
        <v>8.7899999999999991</v>
      </c>
      <c r="AG12" s="3"/>
      <c r="AH12" s="4"/>
      <c r="AI12" s="4"/>
      <c r="AJ12" s="3"/>
      <c r="AK12" s="5">
        <f>1237*(217/209.1)</f>
        <v>1283.7350549976088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69">
        <v>2358.6999999999998</v>
      </c>
      <c r="BF12" s="3"/>
      <c r="BG12" s="3"/>
      <c r="BH12" s="69">
        <v>512956233</v>
      </c>
      <c r="BI12" s="69">
        <v>574510980.96000004</v>
      </c>
      <c r="BJ12" s="69">
        <v>359069363.09999996</v>
      </c>
      <c r="BK12" s="69">
        <v>23000000</v>
      </c>
      <c r="BL12" s="69">
        <v>1600000</v>
      </c>
      <c r="BM12" s="69">
        <v>61554747.960000001</v>
      </c>
      <c r="BN12" s="69">
        <v>153886869.90000004</v>
      </c>
      <c r="BO12" s="3"/>
      <c r="BP12" s="3"/>
      <c r="BQ12" s="3"/>
      <c r="BR12" s="69">
        <v>64500</v>
      </c>
      <c r="BS12" s="69">
        <v>22000</v>
      </c>
      <c r="BT12" s="69">
        <v>-28500</v>
      </c>
      <c r="BU12" s="69">
        <v>58000</v>
      </c>
      <c r="BV12" s="69"/>
      <c r="BW12" s="69"/>
      <c r="BX12" s="69"/>
      <c r="BY12" s="69"/>
      <c r="BZ12" s="69">
        <v>36000</v>
      </c>
      <c r="CA12" s="71"/>
      <c r="CB12" s="73">
        <v>9</v>
      </c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</row>
    <row r="13" spans="1:94" ht="36.75" customHeight="1" x14ac:dyDescent="0.25">
      <c r="A13" s="2" t="s">
        <v>175</v>
      </c>
      <c r="B13" s="3" t="s">
        <v>165</v>
      </c>
      <c r="C13" s="3" t="s">
        <v>176</v>
      </c>
      <c r="D13" s="3">
        <v>2025</v>
      </c>
      <c r="E13" s="3">
        <v>350</v>
      </c>
      <c r="F13" s="3">
        <v>327</v>
      </c>
      <c r="G13" s="3"/>
      <c r="H13" s="3">
        <v>320</v>
      </c>
      <c r="I13" s="3">
        <v>328</v>
      </c>
      <c r="J13" s="3">
        <v>50</v>
      </c>
      <c r="K13" s="3">
        <v>30</v>
      </c>
      <c r="L13" s="3">
        <v>4.5</v>
      </c>
      <c r="M13" s="101">
        <v>2.5</v>
      </c>
      <c r="N13" s="101">
        <v>104</v>
      </c>
      <c r="O13" s="4"/>
      <c r="P13" s="4">
        <v>7.0000000000000007E-2</v>
      </c>
      <c r="Q13" s="3"/>
      <c r="R13" s="3"/>
      <c r="S13" s="3"/>
      <c r="T13" s="3"/>
      <c r="U13" s="3"/>
      <c r="V13" s="3"/>
      <c r="W13" s="3"/>
      <c r="X13" s="3"/>
      <c r="Y13" s="4">
        <v>3.5000000000000003E-2</v>
      </c>
      <c r="Z13" s="3"/>
      <c r="AA13" s="3">
        <v>10</v>
      </c>
      <c r="AB13" s="3"/>
      <c r="AC13" s="3"/>
      <c r="AD13" s="3"/>
      <c r="AE13" s="3">
        <v>11.6</v>
      </c>
      <c r="AF13" s="3">
        <v>9.3000000000000007</v>
      </c>
      <c r="AG13" s="3"/>
      <c r="AH13" s="4"/>
      <c r="AI13" s="4"/>
      <c r="AJ13" s="3"/>
      <c r="AK13" s="5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69">
        <v>236000</v>
      </c>
      <c r="BS13" s="69">
        <v>51000</v>
      </c>
      <c r="BT13" s="69">
        <v>-32000</v>
      </c>
      <c r="BU13" s="69">
        <v>255000</v>
      </c>
      <c r="BV13" s="69"/>
      <c r="BW13" s="69"/>
      <c r="BX13" s="69"/>
      <c r="BY13" s="69"/>
      <c r="BZ13" s="69">
        <v>38000</v>
      </c>
      <c r="CA13" s="71"/>
      <c r="CB13" s="73">
        <v>7</v>
      </c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</row>
    <row r="14" spans="1:94" ht="36.75" customHeight="1" x14ac:dyDescent="0.25">
      <c r="A14" s="2" t="s">
        <v>178</v>
      </c>
      <c r="B14" s="3" t="s">
        <v>165</v>
      </c>
      <c r="C14" s="3" t="s">
        <v>176</v>
      </c>
      <c r="D14" s="3">
        <v>2025</v>
      </c>
      <c r="E14" s="3">
        <v>350</v>
      </c>
      <c r="F14" s="3">
        <v>283</v>
      </c>
      <c r="G14" s="3"/>
      <c r="H14" s="3">
        <v>277</v>
      </c>
      <c r="I14" s="3">
        <v>285</v>
      </c>
      <c r="J14" s="3">
        <v>50</v>
      </c>
      <c r="K14" s="3">
        <v>30</v>
      </c>
      <c r="L14" s="3">
        <v>4.5</v>
      </c>
      <c r="M14" s="101">
        <v>2.5</v>
      </c>
      <c r="N14" s="101">
        <v>104</v>
      </c>
      <c r="O14" s="4"/>
      <c r="P14" s="4">
        <v>0.19</v>
      </c>
      <c r="Q14" s="3"/>
      <c r="R14" s="3"/>
      <c r="S14" s="3"/>
      <c r="T14" s="3"/>
      <c r="U14" s="3"/>
      <c r="V14" s="3"/>
      <c r="W14" s="3"/>
      <c r="X14" s="3"/>
      <c r="Y14" s="4">
        <v>3.5000000000000003E-2</v>
      </c>
      <c r="Z14" s="3"/>
      <c r="AA14" s="3">
        <v>10</v>
      </c>
      <c r="AB14" s="3"/>
      <c r="AC14" s="3"/>
      <c r="AD14" s="3"/>
      <c r="AE14" s="3">
        <v>9.3000000000000007</v>
      </c>
      <c r="AF14" s="3">
        <v>13</v>
      </c>
      <c r="AG14" s="3"/>
      <c r="AH14" s="4"/>
      <c r="AI14" s="4"/>
      <c r="AJ14" s="3"/>
      <c r="AK14" s="5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69">
        <v>379000</v>
      </c>
      <c r="BS14" s="69">
        <v>82000</v>
      </c>
      <c r="BT14" s="69">
        <v>-42000</v>
      </c>
      <c r="BU14" s="69">
        <v>419000</v>
      </c>
      <c r="BV14" s="69"/>
      <c r="BW14" s="69"/>
      <c r="BX14" s="69"/>
      <c r="BY14" s="69"/>
      <c r="BZ14" s="69">
        <v>65000</v>
      </c>
      <c r="CA14" s="71"/>
      <c r="CB14" s="73">
        <v>18</v>
      </c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</row>
    <row r="15" spans="1:94" ht="36.75" customHeight="1" x14ac:dyDescent="0.25">
      <c r="A15" s="2" t="s">
        <v>179</v>
      </c>
      <c r="B15" s="3" t="s">
        <v>165</v>
      </c>
      <c r="C15" s="3" t="s">
        <v>176</v>
      </c>
      <c r="D15" s="3">
        <v>2025</v>
      </c>
      <c r="E15" s="3">
        <v>660</v>
      </c>
      <c r="F15" s="3">
        <v>617</v>
      </c>
      <c r="G15" s="3"/>
      <c r="H15" s="3">
        <v>604</v>
      </c>
      <c r="I15" s="3">
        <v>620</v>
      </c>
      <c r="J15" s="3">
        <v>50</v>
      </c>
      <c r="K15" s="3">
        <v>30</v>
      </c>
      <c r="L15" s="3">
        <v>4.5</v>
      </c>
      <c r="M15" s="101">
        <v>2.5</v>
      </c>
      <c r="N15" s="101">
        <v>104</v>
      </c>
      <c r="O15" s="4"/>
      <c r="P15" s="4">
        <v>7.0000000000000007E-2</v>
      </c>
      <c r="Q15" s="3"/>
      <c r="R15" s="3"/>
      <c r="S15" s="3"/>
      <c r="T15" s="3"/>
      <c r="U15" s="3"/>
      <c r="V15" s="3"/>
      <c r="W15" s="3"/>
      <c r="X15" s="3"/>
      <c r="Y15" s="4">
        <v>3.5000000000000003E-2</v>
      </c>
      <c r="Z15" s="3"/>
      <c r="AA15" s="3">
        <v>10</v>
      </c>
      <c r="AB15" s="3"/>
      <c r="AC15" s="3"/>
      <c r="AD15" s="3"/>
      <c r="AE15" s="3">
        <v>10.9</v>
      </c>
      <c r="AF15" s="3">
        <v>9.5</v>
      </c>
      <c r="AG15" s="3"/>
      <c r="AH15" s="4"/>
      <c r="AI15" s="4"/>
      <c r="AJ15" s="3"/>
      <c r="AK15" s="5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69">
        <v>236000</v>
      </c>
      <c r="BS15" s="69">
        <v>50000</v>
      </c>
      <c r="BT15" s="69">
        <v>-32000</v>
      </c>
      <c r="BU15" s="69">
        <v>254000</v>
      </c>
      <c r="BV15" s="69"/>
      <c r="BW15" s="69"/>
      <c r="BX15" s="69"/>
      <c r="BY15" s="69"/>
      <c r="BZ15" s="69">
        <v>28000</v>
      </c>
      <c r="CA15" s="71"/>
      <c r="CB15" s="73">
        <v>8</v>
      </c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</row>
    <row r="16" spans="1:94" ht="36.75" customHeight="1" x14ac:dyDescent="0.25">
      <c r="A16" s="2" t="s">
        <v>180</v>
      </c>
      <c r="B16" s="3" t="s">
        <v>165</v>
      </c>
      <c r="C16" s="3" t="s">
        <v>176</v>
      </c>
      <c r="D16" s="3">
        <v>2025</v>
      </c>
      <c r="E16" s="3">
        <v>660</v>
      </c>
      <c r="F16" s="3">
        <v>537</v>
      </c>
      <c r="G16" s="3"/>
      <c r="H16" s="3">
        <v>525</v>
      </c>
      <c r="I16" s="3">
        <v>540</v>
      </c>
      <c r="J16" s="3">
        <v>50</v>
      </c>
      <c r="K16" s="3">
        <v>30</v>
      </c>
      <c r="L16" s="3">
        <v>4.5</v>
      </c>
      <c r="M16" s="101">
        <v>2.5</v>
      </c>
      <c r="N16" s="101">
        <v>104</v>
      </c>
      <c r="O16" s="4"/>
      <c r="P16" s="4">
        <v>0.19</v>
      </c>
      <c r="Q16" s="3"/>
      <c r="R16" s="3"/>
      <c r="S16" s="3"/>
      <c r="T16" s="3"/>
      <c r="U16" s="3"/>
      <c r="V16" s="3"/>
      <c r="W16" s="3"/>
      <c r="X16" s="3"/>
      <c r="Y16" s="4">
        <v>3.5000000000000003E-2</v>
      </c>
      <c r="Z16" s="3"/>
      <c r="AA16" s="3">
        <v>10</v>
      </c>
      <c r="AB16" s="3"/>
      <c r="AC16" s="3"/>
      <c r="AD16" s="3"/>
      <c r="AE16" s="3">
        <v>13.4</v>
      </c>
      <c r="AF16" s="3">
        <v>12.8</v>
      </c>
      <c r="AG16" s="3"/>
      <c r="AH16" s="4"/>
      <c r="AI16" s="4"/>
      <c r="AJ16" s="3"/>
      <c r="AK16" s="5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69">
        <v>378000</v>
      </c>
      <c r="BS16" s="69">
        <v>80000</v>
      </c>
      <c r="BT16" s="69">
        <v>-38000</v>
      </c>
      <c r="BU16" s="69">
        <v>420000</v>
      </c>
      <c r="BV16" s="69"/>
      <c r="BW16" s="69"/>
      <c r="BX16" s="69"/>
      <c r="BY16" s="69"/>
      <c r="BZ16" s="69">
        <v>46000</v>
      </c>
      <c r="CA16" s="71"/>
      <c r="CB16" s="73">
        <v>18</v>
      </c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</row>
    <row r="17" spans="1:94" ht="27" customHeight="1" x14ac:dyDescent="0.25">
      <c r="A17" s="2" t="s">
        <v>181</v>
      </c>
      <c r="B17" s="3" t="s">
        <v>165</v>
      </c>
      <c r="C17" s="3" t="s">
        <v>176</v>
      </c>
      <c r="D17" s="3">
        <v>2025</v>
      </c>
      <c r="E17" s="3">
        <v>400</v>
      </c>
      <c r="F17" s="3">
        <v>374</v>
      </c>
      <c r="G17" s="3"/>
      <c r="H17" s="3">
        <v>366</v>
      </c>
      <c r="I17" s="3">
        <v>377</v>
      </c>
      <c r="J17" s="3">
        <v>50</v>
      </c>
      <c r="K17" s="3">
        <v>30</v>
      </c>
      <c r="L17" s="3">
        <v>5.5</v>
      </c>
      <c r="M17" s="101">
        <v>2.5</v>
      </c>
      <c r="N17" s="101">
        <v>104</v>
      </c>
      <c r="O17" s="4"/>
      <c r="P17" s="4">
        <v>7.0000000000000007E-2</v>
      </c>
      <c r="Q17" s="3"/>
      <c r="R17" s="3"/>
      <c r="S17" s="3"/>
      <c r="T17" s="3"/>
      <c r="U17" s="3"/>
      <c r="V17" s="3"/>
      <c r="W17" s="3"/>
      <c r="X17" s="3"/>
      <c r="Y17" s="4">
        <v>3.5000000000000003E-2</v>
      </c>
      <c r="Z17" s="3"/>
      <c r="AA17" s="3">
        <v>10</v>
      </c>
      <c r="AB17" s="3"/>
      <c r="AC17" s="3"/>
      <c r="AD17" s="3"/>
      <c r="AE17" s="3">
        <v>11.1</v>
      </c>
      <c r="AF17" s="3">
        <v>9.1999999999999993</v>
      </c>
      <c r="AG17" s="3"/>
      <c r="AH17" s="10"/>
      <c r="AI17" s="4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69">
        <v>236000</v>
      </c>
      <c r="BS17" s="69">
        <v>51000</v>
      </c>
      <c r="BT17" s="69">
        <v>-37000</v>
      </c>
      <c r="BU17" s="69">
        <v>250000</v>
      </c>
      <c r="BV17" s="69"/>
      <c r="BW17" s="69"/>
      <c r="BX17" s="69"/>
      <c r="BY17" s="69"/>
      <c r="BZ17" s="69">
        <v>49000</v>
      </c>
      <c r="CA17" s="3"/>
      <c r="CB17" s="3">
        <v>8</v>
      </c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</row>
    <row r="18" spans="1:94" ht="27" customHeight="1" x14ac:dyDescent="0.25">
      <c r="A18" s="2" t="s">
        <v>182</v>
      </c>
      <c r="B18" s="3" t="s">
        <v>165</v>
      </c>
      <c r="C18" s="3" t="s">
        <v>176</v>
      </c>
      <c r="D18" s="3">
        <v>2025</v>
      </c>
      <c r="E18" s="3">
        <v>400</v>
      </c>
      <c r="F18" s="3">
        <v>328</v>
      </c>
      <c r="G18" s="3"/>
      <c r="H18" s="3">
        <v>322</v>
      </c>
      <c r="I18" s="3">
        <v>330</v>
      </c>
      <c r="J18" s="3">
        <v>50</v>
      </c>
      <c r="K18" s="3">
        <v>30</v>
      </c>
      <c r="L18" s="3">
        <v>5.5</v>
      </c>
      <c r="M18" s="101">
        <v>2.5</v>
      </c>
      <c r="N18" s="101">
        <v>104</v>
      </c>
      <c r="O18" s="4"/>
      <c r="P18" s="4">
        <v>0.18</v>
      </c>
      <c r="Q18" s="3"/>
      <c r="R18" s="3"/>
      <c r="S18" s="3"/>
      <c r="T18" s="3"/>
      <c r="U18" s="3"/>
      <c r="V18" s="3"/>
      <c r="W18" s="3"/>
      <c r="X18" s="3"/>
      <c r="Y18" s="4">
        <v>3.5000000000000003E-2</v>
      </c>
      <c r="Z18" s="3"/>
      <c r="AA18" s="3">
        <v>10</v>
      </c>
      <c r="AB18" s="3"/>
      <c r="AC18" s="3"/>
      <c r="AD18" s="3"/>
      <c r="AE18" s="3">
        <v>12.7</v>
      </c>
      <c r="AF18" s="3">
        <v>12.2</v>
      </c>
      <c r="AG18" s="3"/>
      <c r="AH18" s="10"/>
      <c r="AI18" s="4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69">
        <v>374000</v>
      </c>
      <c r="BS18" s="69">
        <v>81000</v>
      </c>
      <c r="BT18" s="69">
        <v>-50000</v>
      </c>
      <c r="BU18" s="69">
        <v>405000</v>
      </c>
      <c r="BV18" s="69"/>
      <c r="BW18" s="69"/>
      <c r="BX18" s="69"/>
      <c r="BY18" s="69"/>
      <c r="BZ18" s="69">
        <v>72000</v>
      </c>
      <c r="CA18" s="3"/>
      <c r="CB18" s="3">
        <v>18</v>
      </c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1:94" ht="27" customHeight="1" x14ac:dyDescent="0.25">
      <c r="A19" s="2" t="s">
        <v>183</v>
      </c>
      <c r="B19" s="3" t="s">
        <v>165</v>
      </c>
      <c r="C19" s="3" t="s">
        <v>176</v>
      </c>
      <c r="D19" s="3">
        <v>2025</v>
      </c>
      <c r="E19" s="3">
        <v>700</v>
      </c>
      <c r="F19" s="3">
        <v>656</v>
      </c>
      <c r="G19" s="3"/>
      <c r="H19" s="3">
        <v>643</v>
      </c>
      <c r="I19" s="3">
        <v>660</v>
      </c>
      <c r="J19" s="3">
        <v>50</v>
      </c>
      <c r="K19" s="3">
        <v>30</v>
      </c>
      <c r="L19" s="3">
        <v>5.5</v>
      </c>
      <c r="M19" s="101">
        <v>2.5</v>
      </c>
      <c r="N19" s="101">
        <v>104</v>
      </c>
      <c r="O19" s="4"/>
      <c r="P19" s="4">
        <v>0.06</v>
      </c>
      <c r="Q19" s="3"/>
      <c r="R19" s="3"/>
      <c r="S19" s="3"/>
      <c r="T19" s="3"/>
      <c r="U19" s="3"/>
      <c r="V19" s="3"/>
      <c r="W19" s="3"/>
      <c r="X19" s="3"/>
      <c r="Y19" s="4">
        <v>3.5000000000000003E-2</v>
      </c>
      <c r="Z19" s="3"/>
      <c r="AA19" s="3">
        <v>10</v>
      </c>
      <c r="AB19" s="3"/>
      <c r="AC19" s="3"/>
      <c r="AD19" s="3"/>
      <c r="AE19" s="3">
        <v>11.3</v>
      </c>
      <c r="AF19" s="3">
        <v>9</v>
      </c>
      <c r="AG19" s="3"/>
      <c r="AH19" s="10"/>
      <c r="AI19" s="4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69">
        <v>236000</v>
      </c>
      <c r="BS19" s="69">
        <v>50000</v>
      </c>
      <c r="BT19" s="69">
        <v>-39000</v>
      </c>
      <c r="BU19" s="69">
        <v>247000</v>
      </c>
      <c r="BV19" s="69"/>
      <c r="BW19" s="69"/>
      <c r="BX19" s="69"/>
      <c r="BY19" s="69"/>
      <c r="BZ19" s="69">
        <v>52000</v>
      </c>
      <c r="CA19" s="3"/>
      <c r="CB19" s="3">
        <v>8</v>
      </c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</row>
    <row r="20" spans="1:94" ht="27" customHeight="1" x14ac:dyDescent="0.25">
      <c r="A20" s="2" t="s">
        <v>184</v>
      </c>
      <c r="B20" s="3" t="s">
        <v>165</v>
      </c>
      <c r="C20" s="3" t="s">
        <v>176</v>
      </c>
      <c r="D20" s="3">
        <v>2025</v>
      </c>
      <c r="E20" s="3">
        <v>700</v>
      </c>
      <c r="F20" s="3">
        <v>573</v>
      </c>
      <c r="G20" s="3"/>
      <c r="H20" s="3">
        <v>564</v>
      </c>
      <c r="I20" s="3">
        <v>577</v>
      </c>
      <c r="J20" s="3">
        <v>50</v>
      </c>
      <c r="K20" s="3">
        <v>30</v>
      </c>
      <c r="L20" s="3">
        <v>5.5</v>
      </c>
      <c r="M20" s="101">
        <v>2.5</v>
      </c>
      <c r="N20" s="101">
        <v>104</v>
      </c>
      <c r="O20" s="4"/>
      <c r="P20" s="4">
        <v>0.18</v>
      </c>
      <c r="Q20" s="3"/>
      <c r="R20" s="3"/>
      <c r="S20" s="3"/>
      <c r="T20" s="3"/>
      <c r="U20" s="3"/>
      <c r="V20" s="3"/>
      <c r="W20" s="3"/>
      <c r="X20" s="3"/>
      <c r="Y20" s="4">
        <v>3.5000000000000003E-2</v>
      </c>
      <c r="Z20" s="3"/>
      <c r="AA20" s="3">
        <v>10</v>
      </c>
      <c r="AB20" s="3"/>
      <c r="AC20" s="3"/>
      <c r="AD20" s="3"/>
      <c r="AE20" s="3">
        <v>12.5</v>
      </c>
      <c r="AF20" s="3">
        <v>12.1</v>
      </c>
      <c r="AG20" s="3"/>
      <c r="AH20" s="10"/>
      <c r="AI20" s="4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74"/>
      <c r="AW20" s="74"/>
      <c r="AX20" s="74"/>
      <c r="AY20" s="74"/>
      <c r="AZ20" s="74"/>
      <c r="BA20" s="74"/>
      <c r="BB20" s="74"/>
      <c r="BC20" s="74"/>
      <c r="BD20" s="74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69">
        <v>375000</v>
      </c>
      <c r="BS20" s="69">
        <v>80000</v>
      </c>
      <c r="BT20" s="69">
        <v>-55000</v>
      </c>
      <c r="BU20" s="69">
        <v>400000</v>
      </c>
      <c r="BV20" s="69"/>
      <c r="BW20" s="69"/>
      <c r="BX20" s="69"/>
      <c r="BY20" s="69"/>
      <c r="BZ20" s="69">
        <v>72000</v>
      </c>
      <c r="CA20" s="3"/>
      <c r="CB20" s="3">
        <v>18</v>
      </c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</row>
    <row r="21" spans="1:94" ht="27" customHeight="1" x14ac:dyDescent="0.25">
      <c r="A21" s="2" t="s">
        <v>185</v>
      </c>
      <c r="B21" s="3" t="s">
        <v>165</v>
      </c>
      <c r="C21" s="3" t="s">
        <v>186</v>
      </c>
      <c r="D21" s="3">
        <v>2025</v>
      </c>
      <c r="E21" s="3">
        <v>350</v>
      </c>
      <c r="F21" s="3">
        <v>318</v>
      </c>
      <c r="G21" s="3"/>
      <c r="H21" s="3">
        <v>311</v>
      </c>
      <c r="I21" s="3">
        <v>319</v>
      </c>
      <c r="J21" s="3">
        <v>50</v>
      </c>
      <c r="K21" s="3">
        <v>30</v>
      </c>
      <c r="L21" s="3">
        <v>6.5</v>
      </c>
      <c r="M21" s="101">
        <v>2.5</v>
      </c>
      <c r="N21" s="101">
        <v>104</v>
      </c>
      <c r="O21" s="4"/>
      <c r="P21" s="4">
        <v>0.09</v>
      </c>
      <c r="Q21" s="3"/>
      <c r="R21" s="3"/>
      <c r="S21" s="3"/>
      <c r="T21" s="3"/>
      <c r="U21" s="3"/>
      <c r="V21" s="3"/>
      <c r="W21" s="3"/>
      <c r="X21" s="3"/>
      <c r="Y21" s="4">
        <v>4.4999999999999998E-2</v>
      </c>
      <c r="Z21" s="3"/>
      <c r="AA21" s="3">
        <v>12</v>
      </c>
      <c r="AB21" s="3"/>
      <c r="AC21" s="3"/>
      <c r="AD21" s="3"/>
      <c r="AE21" s="3">
        <v>12.2</v>
      </c>
      <c r="AF21" s="3">
        <v>11.6</v>
      </c>
      <c r="AG21" s="3"/>
      <c r="AH21" s="10"/>
      <c r="AI21" s="4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74"/>
      <c r="AW21" s="74"/>
      <c r="AX21" s="74"/>
      <c r="AY21" s="74"/>
      <c r="AZ21" s="74"/>
      <c r="BA21" s="74"/>
      <c r="BB21" s="74"/>
      <c r="BC21" s="74"/>
      <c r="BD21" s="74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69">
        <v>314000</v>
      </c>
      <c r="BS21" s="69">
        <v>68000</v>
      </c>
      <c r="BT21" s="69">
        <v>-32000</v>
      </c>
      <c r="BU21" s="69">
        <v>350000</v>
      </c>
      <c r="BV21" s="69"/>
      <c r="BW21" s="69"/>
      <c r="BX21" s="69"/>
      <c r="BY21" s="69"/>
      <c r="BZ21" s="69">
        <v>33000</v>
      </c>
      <c r="CA21" s="3"/>
      <c r="CB21" s="3">
        <v>8</v>
      </c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</row>
    <row r="22" spans="1:94" ht="27" customHeight="1" x14ac:dyDescent="0.25">
      <c r="A22" s="2" t="s">
        <v>187</v>
      </c>
      <c r="B22" s="3" t="s">
        <v>165</v>
      </c>
      <c r="C22" s="3" t="s">
        <v>186</v>
      </c>
      <c r="D22" s="3">
        <v>2025</v>
      </c>
      <c r="E22" s="3">
        <v>350</v>
      </c>
      <c r="F22" s="3">
        <v>258</v>
      </c>
      <c r="G22" s="3"/>
      <c r="H22" s="3">
        <v>525</v>
      </c>
      <c r="I22" s="3">
        <v>259</v>
      </c>
      <c r="J22" s="3">
        <v>50</v>
      </c>
      <c r="K22" s="3">
        <v>30</v>
      </c>
      <c r="L22" s="3">
        <v>6.5</v>
      </c>
      <c r="M22" s="101">
        <v>2.5</v>
      </c>
      <c r="N22" s="101">
        <v>104</v>
      </c>
      <c r="O22" s="4"/>
      <c r="P22" s="4">
        <v>0.26</v>
      </c>
      <c r="Q22" s="3"/>
      <c r="R22" s="3"/>
      <c r="S22" s="3"/>
      <c r="T22" s="3"/>
      <c r="U22" s="3"/>
      <c r="V22" s="3"/>
      <c r="W22" s="3"/>
      <c r="X22" s="3"/>
      <c r="Y22" s="4">
        <v>4.4999999999999998E-2</v>
      </c>
      <c r="Z22" s="3"/>
      <c r="AA22" s="3">
        <v>12</v>
      </c>
      <c r="AB22" s="3"/>
      <c r="AC22" s="3"/>
      <c r="AD22" s="3"/>
      <c r="AE22" s="3">
        <v>17.2</v>
      </c>
      <c r="AF22" s="3">
        <v>17.399999999999999</v>
      </c>
      <c r="AG22" s="3"/>
      <c r="AH22" s="10"/>
      <c r="AI22" s="4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74"/>
      <c r="AW22" s="74"/>
      <c r="AX22" s="74"/>
      <c r="AY22" s="74"/>
      <c r="AZ22" s="74"/>
      <c r="BA22" s="74"/>
      <c r="BB22" s="74"/>
      <c r="BC22" s="74"/>
      <c r="BD22" s="74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69">
        <v>408000</v>
      </c>
      <c r="BS22" s="69">
        <v>87000</v>
      </c>
      <c r="BT22" s="69">
        <v>-32000</v>
      </c>
      <c r="BU22" s="69">
        <v>463000</v>
      </c>
      <c r="BV22" s="69"/>
      <c r="BW22" s="69"/>
      <c r="BX22" s="69"/>
      <c r="BY22" s="69"/>
      <c r="BZ22" s="69">
        <v>56000</v>
      </c>
      <c r="CA22" s="3"/>
      <c r="CB22" s="3">
        <v>19</v>
      </c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</row>
    <row r="23" spans="1:94" ht="27" customHeight="1" x14ac:dyDescent="0.25">
      <c r="A23" s="2" t="s">
        <v>188</v>
      </c>
      <c r="B23" s="3" t="s">
        <v>165</v>
      </c>
      <c r="C23" s="3" t="s">
        <v>186</v>
      </c>
      <c r="D23" s="3">
        <v>2025</v>
      </c>
      <c r="E23" s="3">
        <v>580</v>
      </c>
      <c r="F23" s="3">
        <v>527</v>
      </c>
      <c r="G23" s="3"/>
      <c r="H23" s="3">
        <v>515</v>
      </c>
      <c r="I23" s="3">
        <v>531</v>
      </c>
      <c r="J23" s="3">
        <v>50</v>
      </c>
      <c r="K23" s="3">
        <v>30</v>
      </c>
      <c r="L23" s="3">
        <v>6.5</v>
      </c>
      <c r="M23" s="101">
        <v>2.5</v>
      </c>
      <c r="N23" s="101">
        <v>104</v>
      </c>
      <c r="O23" s="4"/>
      <c r="P23" s="4">
        <v>0.09</v>
      </c>
      <c r="Q23" s="3"/>
      <c r="R23" s="3"/>
      <c r="S23" s="3"/>
      <c r="T23" s="3"/>
      <c r="U23" s="3"/>
      <c r="V23" s="3"/>
      <c r="W23" s="3"/>
      <c r="X23" s="3"/>
      <c r="Y23" s="4">
        <v>4.4999999999999998E-2</v>
      </c>
      <c r="Z23" s="3"/>
      <c r="AA23" s="3">
        <v>12</v>
      </c>
      <c r="AB23" s="3"/>
      <c r="AC23" s="3"/>
      <c r="AD23" s="3"/>
      <c r="AE23" s="3">
        <v>12</v>
      </c>
      <c r="AF23" s="3">
        <v>11.4</v>
      </c>
      <c r="AG23" s="3"/>
      <c r="AH23" s="10"/>
      <c r="AI23" s="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74"/>
      <c r="AW23" s="74"/>
      <c r="AX23" s="74"/>
      <c r="AY23" s="74"/>
      <c r="AZ23" s="74"/>
      <c r="BA23" s="74"/>
      <c r="BB23" s="74"/>
      <c r="BC23" s="74"/>
      <c r="BD23" s="74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69">
        <v>323000</v>
      </c>
      <c r="BS23" s="69">
        <v>69000</v>
      </c>
      <c r="BT23" s="69">
        <v>-37000</v>
      </c>
      <c r="BU23" s="69">
        <v>355000</v>
      </c>
      <c r="BV23" s="69"/>
      <c r="BW23" s="69"/>
      <c r="BX23" s="69"/>
      <c r="BY23" s="69"/>
      <c r="BZ23" s="69">
        <v>45000</v>
      </c>
      <c r="CA23" s="3"/>
      <c r="CB23" s="3">
        <v>8</v>
      </c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</row>
    <row r="24" spans="1:94" ht="27" customHeight="1" x14ac:dyDescent="0.25">
      <c r="A24" s="2" t="s">
        <v>189</v>
      </c>
      <c r="B24" s="3" t="s">
        <v>165</v>
      </c>
      <c r="C24" s="3" t="s">
        <v>186</v>
      </c>
      <c r="D24" s="3">
        <v>2025</v>
      </c>
      <c r="E24" s="3">
        <v>580</v>
      </c>
      <c r="F24" s="3">
        <v>489</v>
      </c>
      <c r="G24" s="3"/>
      <c r="H24" s="3">
        <v>476</v>
      </c>
      <c r="I24" s="3">
        <v>489</v>
      </c>
      <c r="J24" s="3">
        <v>50</v>
      </c>
      <c r="K24" s="3">
        <v>30</v>
      </c>
      <c r="L24" s="3">
        <v>6.5</v>
      </c>
      <c r="M24" s="101">
        <v>2.5</v>
      </c>
      <c r="N24" s="101">
        <v>104</v>
      </c>
      <c r="O24" s="4"/>
      <c r="P24" s="4">
        <v>0.16</v>
      </c>
      <c r="Q24" s="3"/>
      <c r="R24" s="3"/>
      <c r="S24" s="3"/>
      <c r="T24" s="3"/>
      <c r="U24" s="3"/>
      <c r="V24" s="3"/>
      <c r="W24" s="3"/>
      <c r="X24" s="3"/>
      <c r="Y24" s="4">
        <v>4.4999999999999998E-2</v>
      </c>
      <c r="Z24" s="3"/>
      <c r="AA24" s="3">
        <v>12</v>
      </c>
      <c r="AB24" s="3"/>
      <c r="AC24" s="3"/>
      <c r="AD24" s="3"/>
      <c r="AE24" s="3">
        <v>17.100000000000001</v>
      </c>
      <c r="AF24" s="3">
        <v>17.2</v>
      </c>
      <c r="AG24" s="3"/>
      <c r="AH24" s="10"/>
      <c r="AI24" s="4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74"/>
      <c r="AW24" s="74"/>
      <c r="AX24" s="74"/>
      <c r="AY24" s="74"/>
      <c r="AZ24" s="74"/>
      <c r="BA24" s="74"/>
      <c r="BB24" s="74"/>
      <c r="BC24" s="74"/>
      <c r="BD24" s="74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69">
        <v>419000</v>
      </c>
      <c r="BS24" s="69">
        <v>90000</v>
      </c>
      <c r="BT24" s="69">
        <v>-37000</v>
      </c>
      <c r="BU24" s="69">
        <v>472000</v>
      </c>
      <c r="BV24" s="69"/>
      <c r="BW24" s="69"/>
      <c r="BX24" s="69"/>
      <c r="BY24" s="69"/>
      <c r="BZ24" s="69">
        <v>63000</v>
      </c>
      <c r="CA24" s="3"/>
      <c r="CB24" s="3">
        <v>19</v>
      </c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</row>
    <row r="25" spans="1:94" ht="27" customHeight="1" x14ac:dyDescent="0.25">
      <c r="A25" s="2" t="s">
        <v>190</v>
      </c>
      <c r="B25" s="3" t="s">
        <v>165</v>
      </c>
      <c r="C25" s="3" t="s">
        <v>191</v>
      </c>
      <c r="D25" s="3">
        <v>2025</v>
      </c>
      <c r="E25" s="3">
        <v>700</v>
      </c>
      <c r="F25" s="3">
        <v>671</v>
      </c>
      <c r="G25" s="3"/>
      <c r="H25" s="3">
        <v>658</v>
      </c>
      <c r="I25" s="3">
        <v>673</v>
      </c>
      <c r="J25" s="3">
        <v>50</v>
      </c>
      <c r="K25" s="3">
        <v>30</v>
      </c>
      <c r="L25" s="3">
        <v>6.5</v>
      </c>
      <c r="M25" s="101">
        <v>2.5</v>
      </c>
      <c r="N25" s="101">
        <v>104</v>
      </c>
      <c r="O25" s="4">
        <v>0.3</v>
      </c>
      <c r="P25" s="4">
        <v>4.1000000000000002E-2</v>
      </c>
      <c r="Q25" s="3"/>
      <c r="R25" s="3"/>
      <c r="S25" s="3"/>
      <c r="T25" s="3"/>
      <c r="U25" s="3"/>
      <c r="V25" s="3"/>
      <c r="W25" s="3"/>
      <c r="X25" s="3"/>
      <c r="Y25" s="4">
        <v>0.04</v>
      </c>
      <c r="Z25" s="3"/>
      <c r="AA25" s="3">
        <v>10.5</v>
      </c>
      <c r="AB25" s="3"/>
      <c r="AC25" s="3">
        <v>20</v>
      </c>
      <c r="AD25" s="3">
        <v>20</v>
      </c>
      <c r="AE25" s="3">
        <v>10.17</v>
      </c>
      <c r="AF25" s="3">
        <v>8.5500000000000007</v>
      </c>
      <c r="AG25" s="3"/>
      <c r="AH25" s="10"/>
      <c r="AI25" s="4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74"/>
      <c r="AW25" s="74"/>
      <c r="AX25" s="74"/>
      <c r="AY25" s="74"/>
      <c r="AZ25" s="74"/>
      <c r="BA25" s="74"/>
      <c r="BB25" s="74"/>
      <c r="BC25" s="74"/>
      <c r="BD25" s="74"/>
      <c r="BE25" s="69">
        <v>6033.6230221270116</v>
      </c>
      <c r="BF25" s="3"/>
      <c r="BG25" s="3"/>
      <c r="BH25" s="69">
        <v>4053024028.2656126</v>
      </c>
      <c r="BI25" s="5">
        <v>4660977632.5054541</v>
      </c>
      <c r="BJ25" s="69">
        <v>1621209611.3062453</v>
      </c>
      <c r="BK25" s="3"/>
      <c r="BL25" s="69">
        <v>2280000</v>
      </c>
      <c r="BM25" s="69">
        <v>607953604.23984182</v>
      </c>
      <c r="BN25" s="69">
        <v>2431814416.9593673</v>
      </c>
      <c r="BO25" s="3"/>
      <c r="BP25" s="3"/>
      <c r="BQ25" s="3"/>
      <c r="BR25" s="69">
        <v>237000</v>
      </c>
      <c r="BS25" s="69">
        <v>52000</v>
      </c>
      <c r="BT25" s="69">
        <v>-40000</v>
      </c>
      <c r="BU25" s="69">
        <f>BR25+BS25+BT25</f>
        <v>249000</v>
      </c>
      <c r="BV25" s="69"/>
      <c r="BW25" s="69"/>
      <c r="BX25" s="69"/>
      <c r="BY25" s="69"/>
      <c r="BZ25" s="69">
        <v>66200</v>
      </c>
      <c r="CA25" s="3"/>
      <c r="CB25" s="3">
        <v>5</v>
      </c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</row>
    <row r="26" spans="1:94" ht="27" customHeight="1" x14ac:dyDescent="0.25">
      <c r="A26" s="2" t="s">
        <v>192</v>
      </c>
      <c r="B26" s="3" t="s">
        <v>165</v>
      </c>
      <c r="C26" s="3" t="s">
        <v>191</v>
      </c>
      <c r="D26" s="3">
        <v>2025</v>
      </c>
      <c r="E26" s="3">
        <v>700</v>
      </c>
      <c r="F26" s="3">
        <v>577</v>
      </c>
      <c r="G26" s="3"/>
      <c r="H26" s="3">
        <v>566</v>
      </c>
      <c r="I26" s="3">
        <v>582</v>
      </c>
      <c r="J26" s="3">
        <v>50</v>
      </c>
      <c r="K26" s="3">
        <v>30</v>
      </c>
      <c r="L26" s="3">
        <v>6.5</v>
      </c>
      <c r="M26" s="101">
        <v>2.5</v>
      </c>
      <c r="N26" s="101">
        <v>104</v>
      </c>
      <c r="O26" s="4">
        <v>0.3</v>
      </c>
      <c r="P26" s="4">
        <v>0.17499999999999999</v>
      </c>
      <c r="Q26" s="3"/>
      <c r="R26" s="3"/>
      <c r="S26" s="3"/>
      <c r="T26" s="3"/>
      <c r="U26" s="3"/>
      <c r="V26" s="3"/>
      <c r="W26" s="3"/>
      <c r="X26" s="3"/>
      <c r="Y26" s="4">
        <v>0.04</v>
      </c>
      <c r="Z26" s="3"/>
      <c r="AA26" s="3">
        <v>10.5</v>
      </c>
      <c r="AB26" s="3"/>
      <c r="AC26" s="3">
        <v>20</v>
      </c>
      <c r="AD26" s="3">
        <v>20</v>
      </c>
      <c r="AE26" s="3">
        <v>11.64</v>
      </c>
      <c r="AF26" s="3">
        <v>11.99</v>
      </c>
      <c r="AG26" s="3"/>
      <c r="AH26" s="10"/>
      <c r="AI26" s="4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74"/>
      <c r="AW26" s="74"/>
      <c r="AX26" s="74"/>
      <c r="AY26" s="74"/>
      <c r="AZ26" s="74"/>
      <c r="BA26" s="74"/>
      <c r="BB26" s="74"/>
      <c r="BC26" s="74"/>
      <c r="BD26" s="74"/>
      <c r="BE26" s="69">
        <v>10942.883875115185</v>
      </c>
      <c r="BF26" s="3"/>
      <c r="BG26" s="3"/>
      <c r="BH26" s="69">
        <v>6492809602.3254757</v>
      </c>
      <c r="BI26" s="5">
        <v>7466731042.6742973</v>
      </c>
      <c r="BJ26" s="69">
        <v>1621209611.3062453</v>
      </c>
      <c r="BK26" s="3"/>
      <c r="BL26" s="69">
        <v>2280000</v>
      </c>
      <c r="BM26" s="69">
        <v>973921440.34882128</v>
      </c>
      <c r="BN26" s="69">
        <v>2431814416.9593673</v>
      </c>
      <c r="BO26" s="5">
        <v>2439785574.0598631</v>
      </c>
      <c r="BP26" s="60" t="s">
        <v>417</v>
      </c>
      <c r="BQ26" s="2">
        <v>0.1096</v>
      </c>
      <c r="BR26" s="69">
        <v>382000</v>
      </c>
      <c r="BS26" s="69">
        <v>81000</v>
      </c>
      <c r="BT26" s="69">
        <v>-58000</v>
      </c>
      <c r="BU26" s="69">
        <f>BR26+BS26+BT26</f>
        <v>405000</v>
      </c>
      <c r="BV26" s="69"/>
      <c r="BW26" s="69"/>
      <c r="BX26" s="69"/>
      <c r="BY26" s="69"/>
      <c r="BZ26" s="69">
        <v>96800</v>
      </c>
      <c r="CA26" s="3"/>
      <c r="CB26" s="3">
        <v>9</v>
      </c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</row>
    <row r="27" spans="1:94" ht="27" customHeight="1" x14ac:dyDescent="0.25">
      <c r="A27" s="2" t="s">
        <v>193</v>
      </c>
      <c r="B27" s="3" t="s">
        <v>165</v>
      </c>
      <c r="C27" s="3" t="s">
        <v>191</v>
      </c>
      <c r="D27" s="3">
        <v>2025</v>
      </c>
      <c r="E27" s="3">
        <v>700</v>
      </c>
      <c r="F27" s="3">
        <v>612</v>
      </c>
      <c r="G27" s="3"/>
      <c r="H27" s="3">
        <v>600</v>
      </c>
      <c r="I27" s="3">
        <v>616</v>
      </c>
      <c r="J27" s="3">
        <v>50</v>
      </c>
      <c r="K27" s="3">
        <v>30</v>
      </c>
      <c r="L27" s="3">
        <v>6.5</v>
      </c>
      <c r="M27" s="101">
        <v>2.5</v>
      </c>
      <c r="N27" s="101">
        <v>104</v>
      </c>
      <c r="O27" s="4">
        <v>0.3</v>
      </c>
      <c r="P27" s="4">
        <v>0.125</v>
      </c>
      <c r="Q27" s="3"/>
      <c r="R27" s="3"/>
      <c r="S27" s="3"/>
      <c r="T27" s="3"/>
      <c r="U27" s="3"/>
      <c r="V27" s="3"/>
      <c r="W27" s="3"/>
      <c r="X27" s="3"/>
      <c r="Y27" s="4">
        <v>0.04</v>
      </c>
      <c r="Z27" s="3"/>
      <c r="AA27" s="3">
        <v>10.5</v>
      </c>
      <c r="AB27" s="3"/>
      <c r="AC27" s="3">
        <v>20</v>
      </c>
      <c r="AD27" s="3">
        <v>20</v>
      </c>
      <c r="AE27" s="3">
        <v>10.11</v>
      </c>
      <c r="AF27" s="3">
        <v>9.89</v>
      </c>
      <c r="AG27" s="3"/>
      <c r="AH27" s="10"/>
      <c r="AI27" s="4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74"/>
      <c r="AW27" s="74"/>
      <c r="AX27" s="74"/>
      <c r="AY27" s="74"/>
      <c r="AZ27" s="74"/>
      <c r="BA27" s="74"/>
      <c r="BB27" s="74"/>
      <c r="BC27" s="74"/>
      <c r="BD27" s="74"/>
      <c r="BE27" s="69">
        <v>9235.0130735532675</v>
      </c>
      <c r="BF27" s="3"/>
      <c r="BG27" s="74"/>
      <c r="BH27" s="69">
        <v>5792351373.1632166</v>
      </c>
      <c r="BI27" s="5">
        <v>6661204079.1376991</v>
      </c>
      <c r="BJ27" s="69">
        <v>1621209611.3062453</v>
      </c>
      <c r="BK27" s="3"/>
      <c r="BL27" s="69">
        <v>2280000</v>
      </c>
      <c r="BM27" s="69">
        <v>868852705.97448242</v>
      </c>
      <c r="BN27" s="69">
        <v>2431814416.9593673</v>
      </c>
      <c r="BO27" s="5">
        <v>1739327344.897604</v>
      </c>
      <c r="BP27" s="60" t="s">
        <v>417</v>
      </c>
      <c r="BQ27" s="2">
        <v>0.1096</v>
      </c>
      <c r="BR27" s="69">
        <v>364000</v>
      </c>
      <c r="BS27" s="69">
        <v>76000</v>
      </c>
      <c r="BT27" s="69">
        <v>-58000</v>
      </c>
      <c r="BU27" s="69">
        <f>BR27+BS27+BT27</f>
        <v>382000</v>
      </c>
      <c r="BV27" s="69"/>
      <c r="BW27" s="69"/>
      <c r="BX27" s="69"/>
      <c r="BY27" s="69"/>
      <c r="BZ27" s="69">
        <v>86500</v>
      </c>
      <c r="CA27" s="3"/>
      <c r="CB27" s="3">
        <v>8</v>
      </c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</row>
    <row r="28" spans="1:94" ht="27" customHeight="1" x14ac:dyDescent="0.25">
      <c r="A28" s="2" t="s">
        <v>194</v>
      </c>
      <c r="B28" s="3" t="s">
        <v>194</v>
      </c>
      <c r="C28" s="3" t="s">
        <v>177</v>
      </c>
      <c r="D28" s="3">
        <v>2025</v>
      </c>
      <c r="E28" s="5">
        <v>190</v>
      </c>
      <c r="F28" s="3">
        <f>ROUND(E28*(1-P28),0)</f>
        <v>188</v>
      </c>
      <c r="G28" s="3"/>
      <c r="H28" s="3">
        <f>F28</f>
        <v>188</v>
      </c>
      <c r="I28" s="3">
        <f>F28</f>
        <v>188</v>
      </c>
      <c r="J28" s="3">
        <v>100</v>
      </c>
      <c r="K28" s="3">
        <v>50</v>
      </c>
      <c r="L28" s="3">
        <v>4</v>
      </c>
      <c r="M28" s="3">
        <v>0.5</v>
      </c>
      <c r="N28" s="3">
        <v>208</v>
      </c>
      <c r="O28" s="4">
        <v>0.25</v>
      </c>
      <c r="P28" s="4">
        <v>0.01</v>
      </c>
      <c r="Q28" s="4">
        <v>0.01</v>
      </c>
      <c r="R28" s="3"/>
      <c r="S28" s="3"/>
      <c r="T28" s="3"/>
      <c r="U28" s="3"/>
      <c r="V28" s="3"/>
      <c r="W28" s="3"/>
      <c r="X28" s="3"/>
      <c r="Y28" s="7">
        <v>0.01</v>
      </c>
      <c r="Z28" s="3"/>
      <c r="AA28" s="75">
        <v>5</v>
      </c>
      <c r="AB28" s="3"/>
      <c r="AC28" s="5">
        <v>400</v>
      </c>
      <c r="AD28" s="5">
        <v>400</v>
      </c>
      <c r="AE28" s="3"/>
      <c r="AF28" s="3"/>
      <c r="AG28" s="3"/>
      <c r="AH28" s="4"/>
      <c r="AI28" s="4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71" t="s">
        <v>195</v>
      </c>
      <c r="AV28" s="76"/>
      <c r="AW28" s="77" t="s">
        <v>195</v>
      </c>
      <c r="AX28" s="77" t="s">
        <v>195</v>
      </c>
      <c r="AY28" s="77" t="s">
        <v>195</v>
      </c>
      <c r="AZ28" s="77" t="s">
        <v>195</v>
      </c>
      <c r="BA28" s="77" t="s">
        <v>195</v>
      </c>
      <c r="BB28" s="77" t="s">
        <v>195</v>
      </c>
      <c r="BC28" s="77">
        <v>95</v>
      </c>
      <c r="BD28" s="77">
        <v>2</v>
      </c>
      <c r="BE28" s="3"/>
      <c r="BF28" s="71">
        <v>6500</v>
      </c>
      <c r="BG28" s="77" t="s">
        <v>195</v>
      </c>
      <c r="BH28" s="5">
        <v>1960000000</v>
      </c>
      <c r="BI28" s="5">
        <v>1960000000</v>
      </c>
      <c r="BJ28" s="5">
        <v>490000000</v>
      </c>
      <c r="BK28" s="3"/>
      <c r="BL28" s="3"/>
      <c r="BM28" s="3">
        <v>0</v>
      </c>
      <c r="BN28" s="5">
        <v>1470000000</v>
      </c>
      <c r="BO28" s="3"/>
      <c r="BP28" s="3"/>
      <c r="BQ28" s="3"/>
      <c r="BR28" s="3">
        <v>9000</v>
      </c>
      <c r="BS28" s="3">
        <v>4000</v>
      </c>
      <c r="BT28" s="3">
        <v>-2500</v>
      </c>
      <c r="BU28" s="3">
        <f>SUM(BR28:BT28)</f>
        <v>10500</v>
      </c>
      <c r="BV28" s="3"/>
      <c r="BW28" s="3"/>
      <c r="BX28" s="3"/>
      <c r="BY28" s="3"/>
      <c r="BZ28" s="69">
        <v>20000</v>
      </c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</row>
    <row r="29" spans="1:94" ht="27" customHeight="1" x14ac:dyDescent="0.25">
      <c r="A29" s="2" t="s">
        <v>196</v>
      </c>
      <c r="B29" s="3" t="s">
        <v>197</v>
      </c>
      <c r="C29" s="3" t="s">
        <v>177</v>
      </c>
      <c r="D29" s="3">
        <v>2025</v>
      </c>
      <c r="E29" s="5">
        <v>500</v>
      </c>
      <c r="F29" s="3">
        <f>E29*(1-P29)</f>
        <v>495</v>
      </c>
      <c r="G29" s="3"/>
      <c r="H29" s="3">
        <f>F29</f>
        <v>495</v>
      </c>
      <c r="I29" s="3">
        <f>F29</f>
        <v>495</v>
      </c>
      <c r="J29" s="3">
        <v>100</v>
      </c>
      <c r="K29" s="3">
        <v>50</v>
      </c>
      <c r="L29" s="3">
        <v>4</v>
      </c>
      <c r="M29" s="3">
        <v>0.5</v>
      </c>
      <c r="N29" s="3">
        <v>182</v>
      </c>
      <c r="O29" s="4">
        <v>0.25</v>
      </c>
      <c r="P29" s="4">
        <v>0.01</v>
      </c>
      <c r="Q29" s="4">
        <v>0.01</v>
      </c>
      <c r="R29" s="3"/>
      <c r="S29" s="3"/>
      <c r="T29" s="3"/>
      <c r="U29" s="3"/>
      <c r="V29" s="3"/>
      <c r="W29" s="3"/>
      <c r="X29" s="3"/>
      <c r="Y29" s="7">
        <v>0.01</v>
      </c>
      <c r="Z29" s="3"/>
      <c r="AA29" s="75">
        <v>5</v>
      </c>
      <c r="AB29" s="3"/>
      <c r="AC29" s="5">
        <v>400</v>
      </c>
      <c r="AD29" s="5">
        <v>400</v>
      </c>
      <c r="AE29" s="3"/>
      <c r="AF29" s="3"/>
      <c r="AG29" s="3"/>
      <c r="AH29" s="4"/>
      <c r="AI29" s="4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78">
        <f>E29*1.1</f>
        <v>550</v>
      </c>
      <c r="AV29" s="79">
        <v>0.77500000000000002</v>
      </c>
      <c r="AW29" s="79">
        <f>(AV29+1)/2</f>
        <v>0.88749999999999996</v>
      </c>
      <c r="AX29" s="79">
        <f>AW29</f>
        <v>0.88749999999999996</v>
      </c>
      <c r="AY29" s="80" t="s">
        <v>195</v>
      </c>
      <c r="AZ29" s="80" t="s">
        <v>195</v>
      </c>
      <c r="BA29" s="80">
        <v>182500</v>
      </c>
      <c r="BB29" s="80" t="s">
        <v>195</v>
      </c>
      <c r="BC29" s="80">
        <v>250</v>
      </c>
      <c r="BD29" s="80">
        <v>2</v>
      </c>
      <c r="BE29" s="3"/>
      <c r="BF29" s="71">
        <v>3300</v>
      </c>
      <c r="BG29" s="5"/>
      <c r="BH29" s="5">
        <f>BF29*E29*1000</f>
        <v>1650000000</v>
      </c>
      <c r="BI29" s="5">
        <f>BH29+BM29</f>
        <v>1750000000</v>
      </c>
      <c r="BJ29" s="5">
        <f>ROUND(0.25*BH29,-7)</f>
        <v>410000000</v>
      </c>
      <c r="BK29" s="3"/>
      <c r="BL29" s="3"/>
      <c r="BM29" s="5">
        <f>ROUND(BH29*0.06,-7)</f>
        <v>100000000</v>
      </c>
      <c r="BN29" s="5">
        <f>ROUND(0.75*BH29,-7)</f>
        <v>1240000000</v>
      </c>
      <c r="BO29" s="3"/>
      <c r="BP29" s="3"/>
      <c r="BQ29" s="3"/>
      <c r="BR29" s="3">
        <v>9000</v>
      </c>
      <c r="BS29" s="3">
        <v>4000</v>
      </c>
      <c r="BT29" s="3">
        <v>-2500</v>
      </c>
      <c r="BU29" s="3">
        <f>SUM(BR29:BT29)</f>
        <v>10500</v>
      </c>
      <c r="BV29" s="3"/>
      <c r="BW29" s="3"/>
      <c r="BX29" s="3"/>
      <c r="BY29" s="3"/>
      <c r="BZ29" s="69">
        <v>20000</v>
      </c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</row>
    <row r="30" spans="1:94" ht="27" customHeight="1" x14ac:dyDescent="0.25">
      <c r="A30" s="2" t="s">
        <v>198</v>
      </c>
      <c r="B30" s="3" t="s">
        <v>197</v>
      </c>
      <c r="C30" s="3" t="s">
        <v>177</v>
      </c>
      <c r="D30" s="3">
        <v>2025</v>
      </c>
      <c r="E30" s="5">
        <v>1000</v>
      </c>
      <c r="F30" s="3">
        <f t="shared" ref="F30:F32" si="0">E30*(1-P30)</f>
        <v>990</v>
      </c>
      <c r="G30" s="3"/>
      <c r="H30" s="3">
        <f t="shared" ref="H30:H32" si="1">F30</f>
        <v>990</v>
      </c>
      <c r="I30" s="3">
        <f t="shared" ref="I30:I32" si="2">F30</f>
        <v>990</v>
      </c>
      <c r="J30" s="3">
        <v>100</v>
      </c>
      <c r="K30" s="3">
        <v>50</v>
      </c>
      <c r="L30" s="3">
        <v>4</v>
      </c>
      <c r="M30" s="3">
        <v>0.5</v>
      </c>
      <c r="N30" s="3">
        <v>208</v>
      </c>
      <c r="O30" s="4">
        <v>0.15</v>
      </c>
      <c r="P30" s="4">
        <v>0.01</v>
      </c>
      <c r="Q30" s="4">
        <v>0.01</v>
      </c>
      <c r="R30" s="3"/>
      <c r="S30" s="3"/>
      <c r="T30" s="3"/>
      <c r="U30" s="3"/>
      <c r="V30" s="3"/>
      <c r="W30" s="3"/>
      <c r="X30" s="3"/>
      <c r="Y30" s="7">
        <v>0.01</v>
      </c>
      <c r="Z30" s="3"/>
      <c r="AA30" s="75">
        <v>5</v>
      </c>
      <c r="AB30" s="3"/>
      <c r="AC30" s="5">
        <v>400</v>
      </c>
      <c r="AD30" s="5">
        <v>400</v>
      </c>
      <c r="AE30" s="3"/>
      <c r="AF30" s="3"/>
      <c r="AG30" s="3"/>
      <c r="AH30" s="4"/>
      <c r="AI30" s="4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78">
        <f t="shared" ref="AU30:AU32" si="3">E30*1.1</f>
        <v>1100</v>
      </c>
      <c r="AV30" s="79">
        <v>0.77500000000000002</v>
      </c>
      <c r="AW30" s="79">
        <f t="shared" ref="AW30:AW32" si="4">(AV30+1)/2</f>
        <v>0.88749999999999996</v>
      </c>
      <c r="AX30" s="79">
        <f t="shared" ref="AX30:AX32" si="5">AW30</f>
        <v>0.88749999999999996</v>
      </c>
      <c r="AY30" s="80" t="s">
        <v>195</v>
      </c>
      <c r="AZ30" s="80" t="s">
        <v>195</v>
      </c>
      <c r="BA30" s="71">
        <v>91250</v>
      </c>
      <c r="BB30" s="80" t="s">
        <v>195</v>
      </c>
      <c r="BC30" s="80">
        <v>250</v>
      </c>
      <c r="BD30" s="80">
        <v>4</v>
      </c>
      <c r="BE30" s="3"/>
      <c r="BF30" s="78">
        <v>4080</v>
      </c>
      <c r="BG30" s="5"/>
      <c r="BH30" s="5">
        <f t="shared" ref="BH30:BH32" si="6">BF30*E30*1000</f>
        <v>4080000000</v>
      </c>
      <c r="BI30" s="5">
        <f t="shared" ref="BI30:BI32" si="7">BH30+BM30</f>
        <v>4320000000</v>
      </c>
      <c r="BJ30" s="5">
        <f t="shared" ref="BJ30:BJ32" si="8">ROUND(0.25*BH30,-7)</f>
        <v>1020000000</v>
      </c>
      <c r="BK30" s="3"/>
      <c r="BL30" s="3"/>
      <c r="BM30" s="5">
        <f t="shared" ref="BM30:BM32" si="9">ROUND(BH30*0.06,-7)</f>
        <v>240000000</v>
      </c>
      <c r="BN30" s="5">
        <f t="shared" ref="BN30:BN32" si="10">ROUND(0.75*BH30,-7)</f>
        <v>3060000000</v>
      </c>
      <c r="BO30" s="3"/>
      <c r="BP30" s="3"/>
      <c r="BQ30" s="3"/>
      <c r="BR30" s="3">
        <v>6500</v>
      </c>
      <c r="BS30" s="3">
        <v>2000</v>
      </c>
      <c r="BT30" s="3">
        <v>-1500</v>
      </c>
      <c r="BU30" s="3">
        <f>SUM(BR30:BT30)</f>
        <v>7000</v>
      </c>
      <c r="BV30" s="3"/>
      <c r="BW30" s="3"/>
      <c r="BX30" s="3"/>
      <c r="BY30" s="3"/>
      <c r="BZ30" s="69">
        <v>22500</v>
      </c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</row>
    <row r="31" spans="1:94" ht="27" customHeight="1" x14ac:dyDescent="0.25">
      <c r="A31" s="2" t="s">
        <v>199</v>
      </c>
      <c r="B31" s="3" t="s">
        <v>197</v>
      </c>
      <c r="C31" s="3" t="s">
        <v>177</v>
      </c>
      <c r="D31" s="3">
        <v>2025</v>
      </c>
      <c r="E31" s="5">
        <v>1000</v>
      </c>
      <c r="F31" s="3">
        <f t="shared" si="0"/>
        <v>990</v>
      </c>
      <c r="G31" s="3"/>
      <c r="H31" s="3">
        <f t="shared" si="1"/>
        <v>990</v>
      </c>
      <c r="I31" s="3">
        <f t="shared" si="2"/>
        <v>990</v>
      </c>
      <c r="J31" s="3">
        <v>100</v>
      </c>
      <c r="K31" s="3">
        <v>50</v>
      </c>
      <c r="L31" s="3">
        <v>4</v>
      </c>
      <c r="M31" s="3">
        <v>0.5</v>
      </c>
      <c r="N31" s="3">
        <v>260</v>
      </c>
      <c r="O31" s="4">
        <v>0.15</v>
      </c>
      <c r="P31" s="4">
        <v>0.01</v>
      </c>
      <c r="Q31" s="4">
        <v>0.01</v>
      </c>
      <c r="R31" s="3"/>
      <c r="S31" s="3"/>
      <c r="T31" s="3"/>
      <c r="U31" s="3"/>
      <c r="V31" s="3"/>
      <c r="W31" s="3"/>
      <c r="X31" s="3"/>
      <c r="Y31" s="7">
        <v>0.01</v>
      </c>
      <c r="Z31" s="3"/>
      <c r="AA31" s="75">
        <v>5</v>
      </c>
      <c r="AB31" s="3"/>
      <c r="AC31" s="5">
        <v>400</v>
      </c>
      <c r="AD31" s="5">
        <v>400</v>
      </c>
      <c r="AE31" s="3"/>
      <c r="AF31" s="3"/>
      <c r="AG31" s="3"/>
      <c r="AH31" s="4"/>
      <c r="AI31" s="4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78">
        <f t="shared" si="3"/>
        <v>1100</v>
      </c>
      <c r="AV31" s="79">
        <v>0.77500000000000002</v>
      </c>
      <c r="AW31" s="79">
        <f t="shared" si="4"/>
        <v>0.88749999999999996</v>
      </c>
      <c r="AX31" s="79">
        <f t="shared" si="5"/>
        <v>0.88749999999999996</v>
      </c>
      <c r="AY31" s="80" t="s">
        <v>195</v>
      </c>
      <c r="AZ31" s="80" t="s">
        <v>195</v>
      </c>
      <c r="BA31" s="78">
        <v>45625</v>
      </c>
      <c r="BB31" s="80" t="s">
        <v>195</v>
      </c>
      <c r="BC31" s="80">
        <v>250</v>
      </c>
      <c r="BD31" s="80">
        <v>4</v>
      </c>
      <c r="BE31" s="3"/>
      <c r="BF31" s="78">
        <v>4850</v>
      </c>
      <c r="BG31" s="5"/>
      <c r="BH31" s="5">
        <f t="shared" si="6"/>
        <v>4850000000</v>
      </c>
      <c r="BI31" s="5">
        <f t="shared" si="7"/>
        <v>5140000000</v>
      </c>
      <c r="BJ31" s="5">
        <f t="shared" si="8"/>
        <v>1210000000</v>
      </c>
      <c r="BK31" s="3"/>
      <c r="BL31" s="3"/>
      <c r="BM31" s="5">
        <f t="shared" si="9"/>
        <v>290000000</v>
      </c>
      <c r="BN31" s="5">
        <f t="shared" si="10"/>
        <v>3640000000</v>
      </c>
      <c r="BO31" s="3"/>
      <c r="BP31" s="3"/>
      <c r="BQ31" s="3"/>
      <c r="BR31" s="3">
        <v>6500</v>
      </c>
      <c r="BS31" s="3">
        <v>2000</v>
      </c>
      <c r="BT31" s="3">
        <v>-1500</v>
      </c>
      <c r="BU31" s="3">
        <f t="shared" ref="BU31:BU32" si="11">SUM(BR31:BT31)</f>
        <v>7000</v>
      </c>
      <c r="BV31" s="3"/>
      <c r="BW31" s="3"/>
      <c r="BX31" s="3"/>
      <c r="BY31" s="3"/>
      <c r="BZ31" s="69">
        <v>25000</v>
      </c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</row>
    <row r="32" spans="1:94" ht="27" customHeight="1" x14ac:dyDescent="0.25">
      <c r="A32" s="2" t="s">
        <v>200</v>
      </c>
      <c r="B32" s="3" t="s">
        <v>197</v>
      </c>
      <c r="C32" s="3" t="s">
        <v>177</v>
      </c>
      <c r="D32" s="3">
        <v>2025</v>
      </c>
      <c r="E32" s="5">
        <v>2000</v>
      </c>
      <c r="F32" s="3">
        <f t="shared" si="0"/>
        <v>1980</v>
      </c>
      <c r="G32" s="3"/>
      <c r="H32" s="3">
        <f t="shared" si="1"/>
        <v>1980</v>
      </c>
      <c r="I32" s="3">
        <f t="shared" si="2"/>
        <v>1980</v>
      </c>
      <c r="J32" s="3">
        <v>100</v>
      </c>
      <c r="K32" s="3">
        <v>50</v>
      </c>
      <c r="L32" s="3">
        <v>4</v>
      </c>
      <c r="M32" s="3">
        <v>0.5</v>
      </c>
      <c r="N32" s="3">
        <v>312</v>
      </c>
      <c r="O32" s="4">
        <v>0.08</v>
      </c>
      <c r="P32" s="4">
        <v>0.01</v>
      </c>
      <c r="Q32" s="4">
        <v>0.01</v>
      </c>
      <c r="R32" s="3"/>
      <c r="S32" s="3"/>
      <c r="T32" s="3"/>
      <c r="U32" s="3"/>
      <c r="V32" s="3"/>
      <c r="W32" s="3"/>
      <c r="X32" s="3"/>
      <c r="Y32" s="7">
        <v>0.01</v>
      </c>
      <c r="Z32" s="3"/>
      <c r="AA32" s="75">
        <v>5</v>
      </c>
      <c r="AB32" s="3"/>
      <c r="AC32" s="5">
        <v>400</v>
      </c>
      <c r="AD32" s="5">
        <v>400</v>
      </c>
      <c r="AE32" s="3"/>
      <c r="AF32" s="3"/>
      <c r="AG32" s="3"/>
      <c r="AH32" s="4"/>
      <c r="AI32" s="4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78">
        <f t="shared" si="3"/>
        <v>2200</v>
      </c>
      <c r="AV32" s="79">
        <v>0.77500000000000002</v>
      </c>
      <c r="AW32" s="79">
        <f t="shared" si="4"/>
        <v>0.88749999999999996</v>
      </c>
      <c r="AX32" s="79">
        <f t="shared" si="5"/>
        <v>0.88749999999999996</v>
      </c>
      <c r="AY32" s="80" t="s">
        <v>195</v>
      </c>
      <c r="AZ32" s="80" t="s">
        <v>195</v>
      </c>
      <c r="BA32" s="78">
        <v>18250</v>
      </c>
      <c r="BB32" s="80" t="s">
        <v>195</v>
      </c>
      <c r="BC32" s="80">
        <v>250</v>
      </c>
      <c r="BD32" s="80">
        <v>8</v>
      </c>
      <c r="BE32" s="3"/>
      <c r="BF32" s="78">
        <v>8290</v>
      </c>
      <c r="BG32" s="5"/>
      <c r="BH32" s="5">
        <f t="shared" si="6"/>
        <v>16580000000</v>
      </c>
      <c r="BI32" s="5">
        <f t="shared" si="7"/>
        <v>17570000000</v>
      </c>
      <c r="BJ32" s="5">
        <f t="shared" si="8"/>
        <v>4150000000</v>
      </c>
      <c r="BK32" s="3"/>
      <c r="BL32" s="3"/>
      <c r="BM32" s="5">
        <f t="shared" si="9"/>
        <v>990000000</v>
      </c>
      <c r="BN32" s="5">
        <f t="shared" si="10"/>
        <v>12440000000</v>
      </c>
      <c r="BO32" s="3"/>
      <c r="BP32" s="3"/>
      <c r="BQ32" s="3"/>
      <c r="BR32" s="3">
        <v>6500</v>
      </c>
      <c r="BS32" s="3">
        <v>2000</v>
      </c>
      <c r="BT32" s="3">
        <v>-1500</v>
      </c>
      <c r="BU32" s="3">
        <f t="shared" si="11"/>
        <v>7000</v>
      </c>
      <c r="BV32" s="3"/>
      <c r="BW32" s="3"/>
      <c r="BX32" s="3"/>
      <c r="BY32" s="3"/>
      <c r="BZ32" s="69">
        <v>30000</v>
      </c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</row>
    <row r="33" spans="1:94" ht="27" customHeight="1" x14ac:dyDescent="0.25">
      <c r="A33" s="2" t="s">
        <v>201</v>
      </c>
      <c r="B33" s="3" t="s">
        <v>197</v>
      </c>
      <c r="C33" s="3" t="s">
        <v>177</v>
      </c>
      <c r="D33" s="3">
        <v>2025</v>
      </c>
      <c r="E33" s="3">
        <v>200</v>
      </c>
      <c r="F33" s="3">
        <v>198.3</v>
      </c>
      <c r="G33" s="3"/>
      <c r="H33" s="3">
        <v>198.3</v>
      </c>
      <c r="I33" s="3">
        <v>198.3</v>
      </c>
      <c r="J33" s="3">
        <v>20</v>
      </c>
      <c r="K33" s="3">
        <v>20</v>
      </c>
      <c r="L33" s="81" t="s">
        <v>202</v>
      </c>
      <c r="M33" s="3">
        <v>1.5</v>
      </c>
      <c r="N33" s="3">
        <v>44</v>
      </c>
      <c r="O33" s="3"/>
      <c r="P33" s="10">
        <v>8.5000000000000006E-3</v>
      </c>
      <c r="Q33" s="3"/>
      <c r="R33" s="3"/>
      <c r="S33" s="3"/>
      <c r="T33" s="3"/>
      <c r="U33" s="3"/>
      <c r="V33" s="3"/>
      <c r="W33" s="3"/>
      <c r="X33" s="3"/>
      <c r="Y33" s="47" t="s">
        <v>203</v>
      </c>
      <c r="Z33" s="3"/>
      <c r="AA33" s="3"/>
      <c r="AB33" s="3"/>
      <c r="AC33" s="3" t="s">
        <v>204</v>
      </c>
      <c r="AD33" s="3" t="s">
        <v>204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78">
        <v>200</v>
      </c>
      <c r="AV33" s="79">
        <v>0.85</v>
      </c>
      <c r="AW33" s="79">
        <v>0.92200000000000004</v>
      </c>
      <c r="AX33" s="79">
        <f>AW33</f>
        <v>0.92200000000000004</v>
      </c>
      <c r="AY33" s="6">
        <v>1</v>
      </c>
      <c r="AZ33" s="6">
        <v>0</v>
      </c>
      <c r="BA33" s="3">
        <v>7300</v>
      </c>
      <c r="BB33" s="6">
        <v>1</v>
      </c>
      <c r="BC33" s="3"/>
      <c r="BD33" s="3"/>
      <c r="BE33" s="3"/>
      <c r="BF33" s="3">
        <v>410</v>
      </c>
      <c r="BG33" s="3">
        <v>310</v>
      </c>
      <c r="BH33" s="5">
        <f>1000*(BF33*E33+BG33*E33*1)</f>
        <v>144000000</v>
      </c>
      <c r="BI33" s="5">
        <f t="shared" ref="BI33:BI44" si="12">BH33+BM33</f>
        <v>154000000</v>
      </c>
      <c r="BJ33" s="5">
        <f t="shared" ref="BJ33:BJ44" si="13">BH33*0.75</f>
        <v>108000000</v>
      </c>
      <c r="BK33" s="3"/>
      <c r="BL33" s="3"/>
      <c r="BM33" s="5">
        <v>10000000</v>
      </c>
      <c r="BN33" s="5">
        <f t="shared" ref="BN33:BN44" si="14">BH33*0.25</f>
        <v>36000000</v>
      </c>
      <c r="BO33" s="3"/>
      <c r="BP33" s="3"/>
      <c r="BQ33" s="3"/>
      <c r="BR33" s="3"/>
      <c r="BS33" s="3"/>
      <c r="BT33" s="3"/>
      <c r="BU33" s="3"/>
      <c r="BV33" s="3">
        <v>28000</v>
      </c>
      <c r="BW33" s="3">
        <v>7000</v>
      </c>
      <c r="BX33" s="3">
        <v>-4000</v>
      </c>
      <c r="BY33" s="3">
        <f t="shared" ref="BY33:BY44" si="15">SUM(BV33:BX33)</f>
        <v>31000</v>
      </c>
      <c r="BZ33" s="3">
        <v>6000</v>
      </c>
      <c r="CA33" s="3">
        <v>2500</v>
      </c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</row>
    <row r="34" spans="1:94" ht="27" customHeight="1" x14ac:dyDescent="0.25">
      <c r="A34" s="2" t="s">
        <v>205</v>
      </c>
      <c r="B34" s="3" t="s">
        <v>197</v>
      </c>
      <c r="C34" s="3" t="s">
        <v>177</v>
      </c>
      <c r="D34" s="3">
        <v>2025</v>
      </c>
      <c r="E34" s="3">
        <v>200</v>
      </c>
      <c r="F34" s="3">
        <v>198.1</v>
      </c>
      <c r="G34" s="3"/>
      <c r="H34" s="3">
        <v>198.1</v>
      </c>
      <c r="I34" s="3">
        <v>198.1</v>
      </c>
      <c r="J34" s="3">
        <v>20</v>
      </c>
      <c r="K34" s="3">
        <v>20</v>
      </c>
      <c r="L34" s="81" t="s">
        <v>202</v>
      </c>
      <c r="M34" s="3">
        <v>1.5</v>
      </c>
      <c r="N34" s="3">
        <v>52</v>
      </c>
      <c r="O34" s="3"/>
      <c r="P34" s="10">
        <v>9.4999999999999998E-3</v>
      </c>
      <c r="Q34" s="3"/>
      <c r="R34" s="3"/>
      <c r="S34" s="3"/>
      <c r="T34" s="3"/>
      <c r="U34" s="3"/>
      <c r="V34" s="3"/>
      <c r="W34" s="3"/>
      <c r="X34" s="3"/>
      <c r="Y34" s="47" t="s">
        <v>203</v>
      </c>
      <c r="Z34" s="3"/>
      <c r="AA34" s="3"/>
      <c r="AB34" s="3"/>
      <c r="AC34" s="3" t="s">
        <v>204</v>
      </c>
      <c r="AD34" s="3" t="s">
        <v>204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78">
        <v>200</v>
      </c>
      <c r="AV34" s="79">
        <v>0.85</v>
      </c>
      <c r="AW34" s="79">
        <v>0.92200000000000004</v>
      </c>
      <c r="AX34" s="79">
        <f>AW34</f>
        <v>0.92200000000000004</v>
      </c>
      <c r="AY34" s="6">
        <v>1</v>
      </c>
      <c r="AZ34" s="6">
        <v>0</v>
      </c>
      <c r="BA34" s="3">
        <v>7300</v>
      </c>
      <c r="BB34" s="6">
        <v>1</v>
      </c>
      <c r="BC34" s="3"/>
      <c r="BD34" s="3"/>
      <c r="BE34" s="3"/>
      <c r="BF34" s="3">
        <v>410</v>
      </c>
      <c r="BG34" s="3">
        <v>290</v>
      </c>
      <c r="BH34" s="5">
        <f>1000*(BF34*E34+BG34*E34*2)</f>
        <v>198000000</v>
      </c>
      <c r="BI34" s="5">
        <f t="shared" si="12"/>
        <v>208000000</v>
      </c>
      <c r="BJ34" s="5">
        <f t="shared" si="13"/>
        <v>148500000</v>
      </c>
      <c r="BK34" s="3"/>
      <c r="BL34" s="3"/>
      <c r="BM34" s="5">
        <v>10000000</v>
      </c>
      <c r="BN34" s="5">
        <f t="shared" si="14"/>
        <v>49500000</v>
      </c>
      <c r="BO34" s="3"/>
      <c r="BP34" s="3"/>
      <c r="BQ34" s="3"/>
      <c r="BR34" s="3"/>
      <c r="BS34" s="3"/>
      <c r="BT34" s="3"/>
      <c r="BU34" s="3"/>
      <c r="BV34" s="3">
        <v>41000</v>
      </c>
      <c r="BW34" s="3">
        <v>14000</v>
      </c>
      <c r="BX34" s="3">
        <v>-6000</v>
      </c>
      <c r="BY34" s="3">
        <f t="shared" si="15"/>
        <v>49000</v>
      </c>
      <c r="BZ34" s="3">
        <v>10000</v>
      </c>
      <c r="CA34" s="3">
        <v>5000</v>
      </c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1:94" ht="27" customHeight="1" x14ac:dyDescent="0.25">
      <c r="A35" s="2" t="s">
        <v>206</v>
      </c>
      <c r="B35" s="3" t="s">
        <v>197</v>
      </c>
      <c r="C35" s="3" t="s">
        <v>177</v>
      </c>
      <c r="D35" s="3">
        <v>2025</v>
      </c>
      <c r="E35" s="3">
        <v>200</v>
      </c>
      <c r="F35" s="3">
        <v>197.6</v>
      </c>
      <c r="G35" s="3"/>
      <c r="H35" s="3">
        <v>197.6</v>
      </c>
      <c r="I35" s="3">
        <v>197.6</v>
      </c>
      <c r="J35" s="3">
        <v>20</v>
      </c>
      <c r="K35" s="3">
        <v>20</v>
      </c>
      <c r="L35" s="81" t="s">
        <v>202</v>
      </c>
      <c r="M35" s="3">
        <v>1.5</v>
      </c>
      <c r="N35" s="3">
        <v>60</v>
      </c>
      <c r="O35" s="3"/>
      <c r="P35" s="10">
        <v>1.2E-2</v>
      </c>
      <c r="Q35" s="3"/>
      <c r="R35" s="3"/>
      <c r="S35" s="3"/>
      <c r="T35" s="3"/>
      <c r="U35" s="3"/>
      <c r="V35" s="3"/>
      <c r="W35" s="3"/>
      <c r="X35" s="3"/>
      <c r="Y35" s="47" t="s">
        <v>203</v>
      </c>
      <c r="Z35" s="3"/>
      <c r="AA35" s="3"/>
      <c r="AB35" s="3"/>
      <c r="AC35" s="3" t="s">
        <v>204</v>
      </c>
      <c r="AD35" s="3" t="s">
        <v>204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78">
        <v>200</v>
      </c>
      <c r="AV35" s="79">
        <v>0.85</v>
      </c>
      <c r="AW35" s="79">
        <v>0.92200000000000004</v>
      </c>
      <c r="AX35" s="79">
        <f>AW35</f>
        <v>0.92200000000000004</v>
      </c>
      <c r="AY35" s="6">
        <v>1</v>
      </c>
      <c r="AZ35" s="6">
        <v>0</v>
      </c>
      <c r="BA35" s="3">
        <v>7300</v>
      </c>
      <c r="BB35" s="6">
        <v>1</v>
      </c>
      <c r="BC35" s="3"/>
      <c r="BD35" s="3"/>
      <c r="BE35" s="3"/>
      <c r="BF35" s="3">
        <v>410</v>
      </c>
      <c r="BG35" s="3">
        <v>265</v>
      </c>
      <c r="BH35" s="5">
        <f>1000*(BF35*E35+BG35*E35*4)</f>
        <v>294000000</v>
      </c>
      <c r="BI35" s="5">
        <f t="shared" si="12"/>
        <v>304000000</v>
      </c>
      <c r="BJ35" s="5">
        <f t="shared" si="13"/>
        <v>220500000</v>
      </c>
      <c r="BK35" s="3"/>
      <c r="BL35" s="3"/>
      <c r="BM35" s="5">
        <v>10000000</v>
      </c>
      <c r="BN35" s="5">
        <f t="shared" si="14"/>
        <v>73500000</v>
      </c>
      <c r="BO35" s="3"/>
      <c r="BP35" s="3"/>
      <c r="BQ35" s="3"/>
      <c r="BR35" s="3"/>
      <c r="BS35" s="3"/>
      <c r="BT35" s="3"/>
      <c r="BU35" s="3"/>
      <c r="BV35" s="3">
        <v>76000</v>
      </c>
      <c r="BW35" s="3">
        <v>27000</v>
      </c>
      <c r="BX35" s="3">
        <v>-9000</v>
      </c>
      <c r="BY35" s="3">
        <f t="shared" si="15"/>
        <v>94000</v>
      </c>
      <c r="BZ35" s="3">
        <v>16000</v>
      </c>
      <c r="CA35" s="3">
        <v>10000</v>
      </c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1:94" ht="27" customHeight="1" x14ac:dyDescent="0.25">
      <c r="A36" s="2" t="s">
        <v>207</v>
      </c>
      <c r="B36" s="3" t="s">
        <v>197</v>
      </c>
      <c r="C36" s="3" t="s">
        <v>177</v>
      </c>
      <c r="D36" s="3">
        <v>2025</v>
      </c>
      <c r="E36" s="3">
        <v>200</v>
      </c>
      <c r="F36" s="3">
        <v>196.5</v>
      </c>
      <c r="G36" s="3"/>
      <c r="H36" s="3">
        <v>196.5</v>
      </c>
      <c r="I36" s="3">
        <v>196.5</v>
      </c>
      <c r="J36" s="3">
        <v>20</v>
      </c>
      <c r="K36" s="3">
        <v>20</v>
      </c>
      <c r="L36" s="81" t="s">
        <v>202</v>
      </c>
      <c r="M36" s="3">
        <v>1.5</v>
      </c>
      <c r="N36" s="3">
        <v>68</v>
      </c>
      <c r="O36" s="3"/>
      <c r="P36" s="10">
        <v>1.7500000000000002E-2</v>
      </c>
      <c r="Q36" s="3"/>
      <c r="R36" s="3"/>
      <c r="S36" s="3"/>
      <c r="T36" s="3"/>
      <c r="U36" s="3"/>
      <c r="V36" s="3"/>
      <c r="W36" s="3"/>
      <c r="X36" s="3"/>
      <c r="Y36" s="47" t="s">
        <v>203</v>
      </c>
      <c r="Z36" s="3"/>
      <c r="AA36" s="3"/>
      <c r="AB36" s="3"/>
      <c r="AC36" s="3" t="s">
        <v>204</v>
      </c>
      <c r="AD36" s="3" t="s">
        <v>204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78">
        <v>200</v>
      </c>
      <c r="AV36" s="79">
        <v>0.85</v>
      </c>
      <c r="AW36" s="79">
        <v>0.92200000000000004</v>
      </c>
      <c r="AX36" s="79">
        <f>AW36</f>
        <v>0.92200000000000004</v>
      </c>
      <c r="AY36" s="6">
        <v>1</v>
      </c>
      <c r="AZ36" s="6">
        <v>0</v>
      </c>
      <c r="BA36" s="3">
        <v>7300</v>
      </c>
      <c r="BB36" s="6">
        <v>1</v>
      </c>
      <c r="BC36" s="3"/>
      <c r="BD36" s="3"/>
      <c r="BE36" s="3"/>
      <c r="BF36" s="3">
        <v>410</v>
      </c>
      <c r="BG36" s="3">
        <v>245</v>
      </c>
      <c r="BH36" s="5">
        <f>1000*(BF36*E36+BG36*E36*8)</f>
        <v>474000000</v>
      </c>
      <c r="BI36" s="5">
        <f t="shared" si="12"/>
        <v>484000000</v>
      </c>
      <c r="BJ36" s="5">
        <f t="shared" si="13"/>
        <v>355500000</v>
      </c>
      <c r="BK36" s="3"/>
      <c r="BL36" s="3"/>
      <c r="BM36" s="5">
        <v>10000000</v>
      </c>
      <c r="BN36" s="5">
        <f t="shared" si="14"/>
        <v>118500000</v>
      </c>
      <c r="BO36" s="3"/>
      <c r="BP36" s="3"/>
      <c r="BQ36" s="3"/>
      <c r="BR36" s="3"/>
      <c r="BS36" s="3"/>
      <c r="BT36" s="3"/>
      <c r="BU36" s="3"/>
      <c r="BV36" s="3">
        <v>128000</v>
      </c>
      <c r="BW36" s="3">
        <v>55000</v>
      </c>
      <c r="BX36" s="3">
        <v>-17000</v>
      </c>
      <c r="BY36" s="3">
        <f t="shared" si="15"/>
        <v>166000</v>
      </c>
      <c r="BZ36" s="3">
        <v>24000</v>
      </c>
      <c r="CA36" s="3">
        <v>20000</v>
      </c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94" ht="27" customHeight="1" x14ac:dyDescent="0.25">
      <c r="A37" s="2" t="s">
        <v>208</v>
      </c>
      <c r="B37" s="3" t="s">
        <v>197</v>
      </c>
      <c r="C37" s="3" t="s">
        <v>177</v>
      </c>
      <c r="D37" s="3">
        <v>2025</v>
      </c>
      <c r="E37" s="3">
        <v>200</v>
      </c>
      <c r="F37" s="3">
        <v>186.4</v>
      </c>
      <c r="G37" s="3"/>
      <c r="H37" s="3">
        <v>186.4</v>
      </c>
      <c r="I37" s="3">
        <v>186.4</v>
      </c>
      <c r="J37" s="3">
        <v>25</v>
      </c>
      <c r="K37" s="3">
        <v>25</v>
      </c>
      <c r="L37" s="3" t="s">
        <v>209</v>
      </c>
      <c r="M37" s="3">
        <v>1.5</v>
      </c>
      <c r="N37" s="3">
        <v>78</v>
      </c>
      <c r="O37" s="3"/>
      <c r="P37" s="10">
        <v>6.8000000000000005E-2</v>
      </c>
      <c r="Q37" s="3"/>
      <c r="R37" s="3"/>
      <c r="S37" s="3"/>
      <c r="T37" s="3"/>
      <c r="U37" s="3"/>
      <c r="V37" s="3"/>
      <c r="W37" s="3"/>
      <c r="X37" s="3"/>
      <c r="Y37" s="4" t="s">
        <v>210</v>
      </c>
      <c r="Z37" s="3"/>
      <c r="AA37" s="3"/>
      <c r="AB37" s="3"/>
      <c r="AC37" s="3" t="s">
        <v>204</v>
      </c>
      <c r="AD37" s="3" t="s">
        <v>204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78">
        <v>200</v>
      </c>
      <c r="AV37" s="79">
        <v>0.7</v>
      </c>
      <c r="AW37" s="79">
        <v>0.82699999999999996</v>
      </c>
      <c r="AX37" s="79">
        <v>0.82699999999999996</v>
      </c>
      <c r="AY37" s="6">
        <v>1</v>
      </c>
      <c r="AZ37" s="6">
        <v>0</v>
      </c>
      <c r="BA37" s="5" t="s">
        <v>211</v>
      </c>
      <c r="BB37" s="6">
        <v>1</v>
      </c>
      <c r="BC37" s="3"/>
      <c r="BD37" s="3"/>
      <c r="BE37" s="3"/>
      <c r="BF37" s="3"/>
      <c r="BG37" s="3">
        <v>910</v>
      </c>
      <c r="BH37" s="5">
        <f>1000*(BG37*E37*8)</f>
        <v>1456000000</v>
      </c>
      <c r="BI37" s="5">
        <f t="shared" si="12"/>
        <v>1471000000</v>
      </c>
      <c r="BJ37" s="5">
        <f t="shared" si="13"/>
        <v>1092000000</v>
      </c>
      <c r="BK37" s="3"/>
      <c r="BL37" s="3"/>
      <c r="BM37" s="5">
        <v>15000000</v>
      </c>
      <c r="BN37" s="5">
        <f t="shared" si="14"/>
        <v>364000000</v>
      </c>
      <c r="BO37" s="3"/>
      <c r="BP37" s="3"/>
      <c r="BQ37" s="3"/>
      <c r="BR37" s="3"/>
      <c r="BS37" s="3"/>
      <c r="BT37" s="3"/>
      <c r="BU37" s="3"/>
      <c r="BV37" s="3">
        <v>455000</v>
      </c>
      <c r="BW37" s="3">
        <v>410000</v>
      </c>
      <c r="BX37" s="3">
        <v>-3003000</v>
      </c>
      <c r="BY37" s="3">
        <f t="shared" si="15"/>
        <v>-2138000</v>
      </c>
      <c r="BZ37" s="3">
        <v>145600</v>
      </c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94" ht="27" customHeight="1" x14ac:dyDescent="0.25">
      <c r="A38" s="2" t="s">
        <v>212</v>
      </c>
      <c r="B38" s="3" t="s">
        <v>197</v>
      </c>
      <c r="C38" s="3" t="s">
        <v>177</v>
      </c>
      <c r="D38" s="3">
        <v>2025</v>
      </c>
      <c r="E38" s="3">
        <v>200</v>
      </c>
      <c r="F38" s="3">
        <v>186.4</v>
      </c>
      <c r="G38" s="3"/>
      <c r="H38" s="3">
        <v>186.4</v>
      </c>
      <c r="I38" s="3">
        <v>186.4</v>
      </c>
      <c r="J38" s="3">
        <v>25</v>
      </c>
      <c r="K38" s="3">
        <v>25</v>
      </c>
      <c r="L38" s="3" t="s">
        <v>209</v>
      </c>
      <c r="M38" s="3">
        <v>1.5</v>
      </c>
      <c r="N38" s="3">
        <v>78</v>
      </c>
      <c r="O38" s="3"/>
      <c r="P38" s="10">
        <v>6.8000000000000005E-2</v>
      </c>
      <c r="Q38" s="3"/>
      <c r="R38" s="3"/>
      <c r="S38" s="3"/>
      <c r="T38" s="3"/>
      <c r="U38" s="3"/>
      <c r="V38" s="3"/>
      <c r="W38" s="3"/>
      <c r="X38" s="3"/>
      <c r="Y38" s="4" t="s">
        <v>210</v>
      </c>
      <c r="Z38" s="3"/>
      <c r="AA38" s="3"/>
      <c r="AB38" s="3"/>
      <c r="AC38" s="3" t="s">
        <v>204</v>
      </c>
      <c r="AD38" s="3" t="s">
        <v>204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78">
        <v>200</v>
      </c>
      <c r="AV38" s="79">
        <v>0.7</v>
      </c>
      <c r="AW38" s="79">
        <v>0.82699999999999996</v>
      </c>
      <c r="AX38" s="79">
        <v>0.82699999999999996</v>
      </c>
      <c r="AY38" s="6">
        <v>1</v>
      </c>
      <c r="AZ38" s="6">
        <v>0</v>
      </c>
      <c r="BA38" s="5" t="s">
        <v>211</v>
      </c>
      <c r="BB38" s="6">
        <v>1</v>
      </c>
      <c r="BC38" s="3"/>
      <c r="BD38" s="3"/>
      <c r="BE38" s="3"/>
      <c r="BF38" s="3"/>
      <c r="BG38" s="3">
        <v>815</v>
      </c>
      <c r="BH38" s="5">
        <f>1000*(BG38*E38*12)</f>
        <v>1956000000</v>
      </c>
      <c r="BI38" s="5">
        <f t="shared" si="12"/>
        <v>1971000000</v>
      </c>
      <c r="BJ38" s="5">
        <f t="shared" si="13"/>
        <v>1467000000</v>
      </c>
      <c r="BK38" s="3"/>
      <c r="BL38" s="3"/>
      <c r="BM38" s="5">
        <v>15000000</v>
      </c>
      <c r="BN38" s="5">
        <f t="shared" si="14"/>
        <v>489000000</v>
      </c>
      <c r="BO38" s="3"/>
      <c r="BP38" s="3"/>
      <c r="BQ38" s="3"/>
      <c r="BR38" s="3"/>
      <c r="BS38" s="3"/>
      <c r="BT38" s="3"/>
      <c r="BU38" s="3"/>
      <c r="BV38" s="3">
        <v>569000</v>
      </c>
      <c r="BW38" s="3">
        <v>487000</v>
      </c>
      <c r="BX38" s="3">
        <v>-4415000</v>
      </c>
      <c r="BY38" s="3">
        <f t="shared" si="15"/>
        <v>-3359000</v>
      </c>
      <c r="BZ38" s="3">
        <v>195600</v>
      </c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94" ht="27" customHeight="1" x14ac:dyDescent="0.25">
      <c r="A39" s="2" t="s">
        <v>213</v>
      </c>
      <c r="B39" s="3" t="s">
        <v>197</v>
      </c>
      <c r="C39" s="3" t="s">
        <v>177</v>
      </c>
      <c r="D39" s="3">
        <v>2025</v>
      </c>
      <c r="E39" s="3">
        <v>200</v>
      </c>
      <c r="F39" s="3">
        <v>198.3</v>
      </c>
      <c r="G39" s="3"/>
      <c r="H39" s="3">
        <v>198.3</v>
      </c>
      <c r="I39" s="3">
        <v>198.3</v>
      </c>
      <c r="J39" s="3">
        <v>20</v>
      </c>
      <c r="K39" s="3">
        <v>20</v>
      </c>
      <c r="L39" s="81" t="s">
        <v>202</v>
      </c>
      <c r="M39" s="3">
        <v>1.5</v>
      </c>
      <c r="N39" s="3">
        <v>44</v>
      </c>
      <c r="O39" s="3"/>
      <c r="P39" s="10">
        <v>8.5000000000000006E-3</v>
      </c>
      <c r="Q39" s="3"/>
      <c r="R39" s="3"/>
      <c r="S39" s="3"/>
      <c r="T39" s="3"/>
      <c r="U39" s="3"/>
      <c r="V39" s="3"/>
      <c r="W39" s="3"/>
      <c r="X39" s="3"/>
      <c r="Y39" s="47" t="s">
        <v>203</v>
      </c>
      <c r="Z39" s="3"/>
      <c r="AA39" s="3"/>
      <c r="AB39" s="3"/>
      <c r="AC39" s="3" t="s">
        <v>204</v>
      </c>
      <c r="AD39" s="3" t="s">
        <v>204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78">
        <v>200</v>
      </c>
      <c r="AV39" s="79">
        <v>0.85</v>
      </c>
      <c r="AW39" s="79">
        <v>0.92200000000000004</v>
      </c>
      <c r="AX39" s="79">
        <f>AW39</f>
        <v>0.92200000000000004</v>
      </c>
      <c r="AY39" s="6">
        <v>1</v>
      </c>
      <c r="AZ39" s="6">
        <v>0</v>
      </c>
      <c r="BA39" s="3">
        <v>7300</v>
      </c>
      <c r="BB39" s="6">
        <v>1</v>
      </c>
      <c r="BC39" s="3"/>
      <c r="BD39" s="3"/>
      <c r="BE39" s="3"/>
      <c r="BF39" s="3">
        <v>369</v>
      </c>
      <c r="BG39" s="3">
        <v>310</v>
      </c>
      <c r="BH39" s="5">
        <f>1000*(BF39*E39+BG39*E39*1)</f>
        <v>135800000</v>
      </c>
      <c r="BI39" s="5">
        <f t="shared" si="12"/>
        <v>145800000</v>
      </c>
      <c r="BJ39" s="5">
        <f t="shared" si="13"/>
        <v>101850000</v>
      </c>
      <c r="BK39" s="3"/>
      <c r="BL39" s="3"/>
      <c r="BM39" s="5">
        <v>10000000</v>
      </c>
      <c r="BN39" s="5">
        <f t="shared" si="14"/>
        <v>33950000</v>
      </c>
      <c r="BO39" s="3"/>
      <c r="BP39" s="3"/>
      <c r="BQ39" s="3"/>
      <c r="BR39" s="3"/>
      <c r="BS39" s="3"/>
      <c r="BT39" s="3"/>
      <c r="BU39" s="3"/>
      <c r="BV39" s="3">
        <v>28000</v>
      </c>
      <c r="BW39" s="3">
        <v>7000</v>
      </c>
      <c r="BX39" s="3">
        <v>-4000</v>
      </c>
      <c r="BY39" s="3">
        <f t="shared" si="15"/>
        <v>31000</v>
      </c>
      <c r="BZ39" s="3">
        <v>6000</v>
      </c>
      <c r="CA39" s="3">
        <v>2500</v>
      </c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94" ht="27" customHeight="1" x14ac:dyDescent="0.25">
      <c r="A40" s="2" t="s">
        <v>214</v>
      </c>
      <c r="B40" s="3" t="s">
        <v>197</v>
      </c>
      <c r="C40" s="3" t="s">
        <v>177</v>
      </c>
      <c r="D40" s="3">
        <v>2025</v>
      </c>
      <c r="E40" s="3">
        <v>200</v>
      </c>
      <c r="F40" s="3">
        <v>198.1</v>
      </c>
      <c r="G40" s="3"/>
      <c r="H40" s="3">
        <v>198.1</v>
      </c>
      <c r="I40" s="3">
        <v>198.1</v>
      </c>
      <c r="J40" s="3">
        <v>20</v>
      </c>
      <c r="K40" s="3">
        <v>20</v>
      </c>
      <c r="L40" s="81" t="s">
        <v>202</v>
      </c>
      <c r="M40" s="3">
        <v>1.5</v>
      </c>
      <c r="N40" s="3">
        <v>52</v>
      </c>
      <c r="O40" s="3"/>
      <c r="P40" s="10">
        <v>9.4999999999999998E-3</v>
      </c>
      <c r="Q40" s="3"/>
      <c r="R40" s="3"/>
      <c r="S40" s="3"/>
      <c r="T40" s="3"/>
      <c r="U40" s="3"/>
      <c r="V40" s="3"/>
      <c r="W40" s="3"/>
      <c r="X40" s="3"/>
      <c r="Y40" s="47" t="s">
        <v>203</v>
      </c>
      <c r="Z40" s="3"/>
      <c r="AA40" s="3"/>
      <c r="AB40" s="3"/>
      <c r="AC40" s="3" t="s">
        <v>204</v>
      </c>
      <c r="AD40" s="3" t="s">
        <v>204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78">
        <v>200</v>
      </c>
      <c r="AV40" s="79">
        <v>0.85</v>
      </c>
      <c r="AW40" s="79">
        <v>0.92200000000000004</v>
      </c>
      <c r="AX40" s="79">
        <f>AW40</f>
        <v>0.92200000000000004</v>
      </c>
      <c r="AY40" s="6">
        <v>1</v>
      </c>
      <c r="AZ40" s="6">
        <v>0</v>
      </c>
      <c r="BA40" s="3">
        <v>7300</v>
      </c>
      <c r="BB40" s="6">
        <v>1</v>
      </c>
      <c r="BC40" s="3"/>
      <c r="BD40" s="3"/>
      <c r="BE40" s="3"/>
      <c r="BF40" s="3">
        <v>369</v>
      </c>
      <c r="BG40" s="3">
        <v>290</v>
      </c>
      <c r="BH40" s="5">
        <f>1000*(BF40*E40+BG40*E40*2)</f>
        <v>189800000</v>
      </c>
      <c r="BI40" s="5">
        <f t="shared" si="12"/>
        <v>199800000</v>
      </c>
      <c r="BJ40" s="5">
        <f t="shared" si="13"/>
        <v>142350000</v>
      </c>
      <c r="BK40" s="3"/>
      <c r="BL40" s="3"/>
      <c r="BM40" s="5">
        <v>10000000</v>
      </c>
      <c r="BN40" s="5">
        <f t="shared" si="14"/>
        <v>47450000</v>
      </c>
      <c r="BO40" s="3"/>
      <c r="BP40" s="3"/>
      <c r="BQ40" s="3"/>
      <c r="BR40" s="3"/>
      <c r="BS40" s="3"/>
      <c r="BT40" s="3"/>
      <c r="BU40" s="3"/>
      <c r="BV40" s="3">
        <v>41000</v>
      </c>
      <c r="BW40" s="3">
        <v>14000</v>
      </c>
      <c r="BX40" s="3">
        <v>-6000</v>
      </c>
      <c r="BY40" s="3">
        <f t="shared" si="15"/>
        <v>49000</v>
      </c>
      <c r="BZ40" s="3">
        <v>10000</v>
      </c>
      <c r="CA40" s="3">
        <v>5000</v>
      </c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94" ht="27" customHeight="1" x14ac:dyDescent="0.25">
      <c r="A41" s="2" t="s">
        <v>215</v>
      </c>
      <c r="B41" s="3" t="s">
        <v>197</v>
      </c>
      <c r="C41" s="3" t="s">
        <v>177</v>
      </c>
      <c r="D41" s="3">
        <v>2025</v>
      </c>
      <c r="E41" s="3">
        <v>200</v>
      </c>
      <c r="F41" s="3">
        <v>197.6</v>
      </c>
      <c r="G41" s="3"/>
      <c r="H41" s="3">
        <v>197.6</v>
      </c>
      <c r="I41" s="3">
        <v>197.6</v>
      </c>
      <c r="J41" s="3">
        <v>20</v>
      </c>
      <c r="K41" s="3">
        <v>20</v>
      </c>
      <c r="L41" s="81" t="s">
        <v>202</v>
      </c>
      <c r="M41" s="3">
        <v>1.5</v>
      </c>
      <c r="N41" s="3">
        <v>60</v>
      </c>
      <c r="O41" s="3"/>
      <c r="P41" s="10">
        <v>1.2E-2</v>
      </c>
      <c r="Q41" s="3"/>
      <c r="R41" s="3"/>
      <c r="S41" s="3"/>
      <c r="T41" s="3"/>
      <c r="U41" s="3"/>
      <c r="V41" s="3"/>
      <c r="W41" s="3"/>
      <c r="X41" s="3"/>
      <c r="Y41" s="47" t="s">
        <v>203</v>
      </c>
      <c r="Z41" s="3"/>
      <c r="AA41" s="3"/>
      <c r="AB41" s="3"/>
      <c r="AC41" s="3" t="s">
        <v>204</v>
      </c>
      <c r="AD41" s="3" t="s">
        <v>204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78">
        <v>200</v>
      </c>
      <c r="AV41" s="79">
        <v>0.85</v>
      </c>
      <c r="AW41" s="79">
        <v>0.92200000000000004</v>
      </c>
      <c r="AX41" s="79">
        <f>AW41</f>
        <v>0.92200000000000004</v>
      </c>
      <c r="AY41" s="6">
        <v>1</v>
      </c>
      <c r="AZ41" s="6">
        <v>0</v>
      </c>
      <c r="BA41" s="3">
        <v>7300</v>
      </c>
      <c r="BB41" s="6">
        <v>1</v>
      </c>
      <c r="BC41" s="3"/>
      <c r="BD41" s="3"/>
      <c r="BE41" s="3"/>
      <c r="BF41" s="3">
        <v>369</v>
      </c>
      <c r="BG41" s="3">
        <v>265</v>
      </c>
      <c r="BH41" s="5">
        <f>1000*(BF41*E41+BG41*E41*4)</f>
        <v>285800000</v>
      </c>
      <c r="BI41" s="5">
        <f t="shared" si="12"/>
        <v>295800000</v>
      </c>
      <c r="BJ41" s="5">
        <f t="shared" si="13"/>
        <v>214350000</v>
      </c>
      <c r="BK41" s="3"/>
      <c r="BL41" s="3"/>
      <c r="BM41" s="5">
        <v>10000000</v>
      </c>
      <c r="BN41" s="5">
        <f t="shared" si="14"/>
        <v>71450000</v>
      </c>
      <c r="BO41" s="3"/>
      <c r="BP41" s="3"/>
      <c r="BQ41" s="3"/>
      <c r="BR41" s="3"/>
      <c r="BS41" s="3"/>
      <c r="BT41" s="3"/>
      <c r="BU41" s="3"/>
      <c r="BV41" s="3">
        <v>76000</v>
      </c>
      <c r="BW41" s="3">
        <v>27000</v>
      </c>
      <c r="BX41" s="3">
        <v>-9000</v>
      </c>
      <c r="BY41" s="3">
        <f t="shared" si="15"/>
        <v>94000</v>
      </c>
      <c r="BZ41" s="3">
        <v>16000</v>
      </c>
      <c r="CA41" s="3">
        <v>10000</v>
      </c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</row>
    <row r="42" spans="1:94" ht="27" customHeight="1" x14ac:dyDescent="0.25">
      <c r="A42" s="2" t="s">
        <v>216</v>
      </c>
      <c r="B42" s="3" t="s">
        <v>197</v>
      </c>
      <c r="C42" s="3" t="s">
        <v>177</v>
      </c>
      <c r="D42" s="3">
        <v>2025</v>
      </c>
      <c r="E42" s="3">
        <v>200</v>
      </c>
      <c r="F42" s="3">
        <v>196.5</v>
      </c>
      <c r="G42" s="3"/>
      <c r="H42" s="3">
        <v>196.5</v>
      </c>
      <c r="I42" s="3">
        <v>196.5</v>
      </c>
      <c r="J42" s="3">
        <v>20</v>
      </c>
      <c r="K42" s="3">
        <v>20</v>
      </c>
      <c r="L42" s="81" t="s">
        <v>202</v>
      </c>
      <c r="M42" s="3">
        <v>1.5</v>
      </c>
      <c r="N42" s="3">
        <v>68</v>
      </c>
      <c r="O42" s="3"/>
      <c r="P42" s="10">
        <v>1.7500000000000002E-2</v>
      </c>
      <c r="Q42" s="3"/>
      <c r="R42" s="3"/>
      <c r="S42" s="3"/>
      <c r="T42" s="3"/>
      <c r="U42" s="3"/>
      <c r="V42" s="3"/>
      <c r="W42" s="3"/>
      <c r="X42" s="3"/>
      <c r="Y42" s="47" t="s">
        <v>203</v>
      </c>
      <c r="Z42" s="3"/>
      <c r="AA42" s="3"/>
      <c r="AB42" s="3"/>
      <c r="AC42" s="3" t="s">
        <v>204</v>
      </c>
      <c r="AD42" s="3" t="s">
        <v>204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78">
        <v>200</v>
      </c>
      <c r="AV42" s="79">
        <v>0.85</v>
      </c>
      <c r="AW42" s="79">
        <v>0.92200000000000004</v>
      </c>
      <c r="AX42" s="79">
        <f>AW42</f>
        <v>0.92200000000000004</v>
      </c>
      <c r="AY42" s="6">
        <v>1</v>
      </c>
      <c r="AZ42" s="6">
        <v>0</v>
      </c>
      <c r="BA42" s="3">
        <v>7300</v>
      </c>
      <c r="BB42" s="6">
        <v>1</v>
      </c>
      <c r="BC42" s="3"/>
      <c r="BD42" s="3"/>
      <c r="BE42" s="3"/>
      <c r="BF42" s="3">
        <v>369</v>
      </c>
      <c r="BG42" s="3">
        <v>245</v>
      </c>
      <c r="BH42" s="5">
        <f>1000*(BF42*E42+BG42*E42*8)</f>
        <v>465800000</v>
      </c>
      <c r="BI42" s="5">
        <f t="shared" si="12"/>
        <v>475800000</v>
      </c>
      <c r="BJ42" s="5">
        <f t="shared" si="13"/>
        <v>349350000</v>
      </c>
      <c r="BK42" s="3"/>
      <c r="BL42" s="3"/>
      <c r="BM42" s="5">
        <v>10000000</v>
      </c>
      <c r="BN42" s="5">
        <f t="shared" si="14"/>
        <v>116450000</v>
      </c>
      <c r="BO42" s="3"/>
      <c r="BP42" s="3"/>
      <c r="BQ42" s="3"/>
      <c r="BR42" s="3"/>
      <c r="BS42" s="3"/>
      <c r="BT42" s="3"/>
      <c r="BU42" s="3"/>
      <c r="BV42" s="3">
        <v>128000</v>
      </c>
      <c r="BW42" s="3">
        <v>55000</v>
      </c>
      <c r="BX42" s="3">
        <v>-17000</v>
      </c>
      <c r="BY42" s="3">
        <f t="shared" si="15"/>
        <v>166000</v>
      </c>
      <c r="BZ42" s="3">
        <v>24000</v>
      </c>
      <c r="CA42" s="3">
        <v>20000</v>
      </c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1:94" ht="27" customHeight="1" x14ac:dyDescent="0.25">
      <c r="A43" s="2" t="s">
        <v>217</v>
      </c>
      <c r="B43" s="3" t="s">
        <v>197</v>
      </c>
      <c r="C43" s="3" t="s">
        <v>177</v>
      </c>
      <c r="D43" s="3">
        <v>2025</v>
      </c>
      <c r="E43" s="3">
        <v>200</v>
      </c>
      <c r="F43" s="3">
        <v>186.4</v>
      </c>
      <c r="G43" s="3"/>
      <c r="H43" s="3">
        <v>186.4</v>
      </c>
      <c r="I43" s="3">
        <v>186.4</v>
      </c>
      <c r="J43" s="3">
        <v>25</v>
      </c>
      <c r="K43" s="3">
        <v>25</v>
      </c>
      <c r="L43" s="3" t="s">
        <v>209</v>
      </c>
      <c r="M43" s="3">
        <v>1.5</v>
      </c>
      <c r="N43" s="3">
        <v>78</v>
      </c>
      <c r="O43" s="3"/>
      <c r="P43" s="10">
        <v>6.8000000000000005E-2</v>
      </c>
      <c r="Q43" s="3"/>
      <c r="R43" s="3"/>
      <c r="S43" s="3"/>
      <c r="T43" s="3"/>
      <c r="U43" s="3"/>
      <c r="V43" s="3"/>
      <c r="W43" s="3"/>
      <c r="X43" s="3"/>
      <c r="Y43" s="4" t="s">
        <v>210</v>
      </c>
      <c r="Z43" s="3"/>
      <c r="AA43" s="3"/>
      <c r="AB43" s="3"/>
      <c r="AC43" s="3" t="s">
        <v>204</v>
      </c>
      <c r="AD43" s="3" t="s">
        <v>204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78">
        <v>200</v>
      </c>
      <c r="AV43" s="79">
        <v>0.7</v>
      </c>
      <c r="AW43" s="79">
        <v>0.82699999999999996</v>
      </c>
      <c r="AX43" s="79">
        <v>0.82699999999999996</v>
      </c>
      <c r="AY43" s="6">
        <v>1</v>
      </c>
      <c r="AZ43" s="6">
        <v>0</v>
      </c>
      <c r="BA43" s="5" t="s">
        <v>211</v>
      </c>
      <c r="BB43" s="6">
        <v>1</v>
      </c>
      <c r="BC43" s="3"/>
      <c r="BD43" s="3"/>
      <c r="BE43" s="3"/>
      <c r="BF43" s="3"/>
      <c r="BG43" s="3">
        <v>865</v>
      </c>
      <c r="BH43" s="5">
        <f>1000*(BG43*E43*8)</f>
        <v>1384000000</v>
      </c>
      <c r="BI43" s="5">
        <f t="shared" si="12"/>
        <v>1399000000</v>
      </c>
      <c r="BJ43" s="5">
        <f t="shared" si="13"/>
        <v>1038000000</v>
      </c>
      <c r="BK43" s="3"/>
      <c r="BL43" s="3"/>
      <c r="BM43" s="5">
        <v>15000000</v>
      </c>
      <c r="BN43" s="5">
        <f t="shared" si="14"/>
        <v>346000000</v>
      </c>
      <c r="BO43" s="3"/>
      <c r="BP43" s="3"/>
      <c r="BQ43" s="3"/>
      <c r="BR43" s="3"/>
      <c r="BS43" s="3"/>
      <c r="BT43" s="3"/>
      <c r="BU43" s="3"/>
      <c r="BV43" s="3">
        <v>455000</v>
      </c>
      <c r="BW43" s="3">
        <v>410000</v>
      </c>
      <c r="BX43" s="3">
        <v>-3003000</v>
      </c>
      <c r="BY43" s="3">
        <f t="shared" si="15"/>
        <v>-2138000</v>
      </c>
      <c r="BZ43" s="3">
        <v>145600</v>
      </c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</row>
    <row r="44" spans="1:94" ht="27" customHeight="1" x14ac:dyDescent="0.25">
      <c r="A44" s="2" t="s">
        <v>218</v>
      </c>
      <c r="B44" s="3" t="s">
        <v>197</v>
      </c>
      <c r="C44" s="3" t="s">
        <v>177</v>
      </c>
      <c r="D44" s="3">
        <v>2025</v>
      </c>
      <c r="E44" s="3">
        <v>200</v>
      </c>
      <c r="F44" s="3">
        <v>186.4</v>
      </c>
      <c r="G44" s="3"/>
      <c r="H44" s="3">
        <v>186.4</v>
      </c>
      <c r="I44" s="3">
        <v>186.4</v>
      </c>
      <c r="J44" s="3">
        <v>25</v>
      </c>
      <c r="K44" s="3">
        <v>25</v>
      </c>
      <c r="L44" s="3" t="s">
        <v>209</v>
      </c>
      <c r="M44" s="3">
        <v>1.5</v>
      </c>
      <c r="N44" s="3">
        <v>78</v>
      </c>
      <c r="O44" s="3"/>
      <c r="P44" s="10">
        <v>6.8000000000000005E-2</v>
      </c>
      <c r="Q44" s="3"/>
      <c r="R44" s="3"/>
      <c r="S44" s="3"/>
      <c r="T44" s="3"/>
      <c r="U44" s="3"/>
      <c r="V44" s="3"/>
      <c r="W44" s="3"/>
      <c r="X44" s="3"/>
      <c r="Y44" s="4" t="s">
        <v>210</v>
      </c>
      <c r="Z44" s="3"/>
      <c r="AA44" s="3"/>
      <c r="AB44" s="3"/>
      <c r="AC44" s="3" t="s">
        <v>204</v>
      </c>
      <c r="AD44" s="3" t="s">
        <v>204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78">
        <v>200</v>
      </c>
      <c r="AV44" s="79">
        <v>0.7</v>
      </c>
      <c r="AW44" s="79">
        <v>0.82699999999999996</v>
      </c>
      <c r="AX44" s="79">
        <v>0.82699999999999996</v>
      </c>
      <c r="AY44" s="6">
        <v>1</v>
      </c>
      <c r="AZ44" s="6">
        <v>0</v>
      </c>
      <c r="BA44" s="5" t="s">
        <v>211</v>
      </c>
      <c r="BB44" s="6">
        <v>1</v>
      </c>
      <c r="BC44" s="3"/>
      <c r="BD44" s="3"/>
      <c r="BE44" s="3"/>
      <c r="BF44" s="3"/>
      <c r="BG44" s="3">
        <v>774</v>
      </c>
      <c r="BH44" s="5">
        <f>1000*(BG44*E44*12)</f>
        <v>1857600000</v>
      </c>
      <c r="BI44" s="5">
        <f t="shared" si="12"/>
        <v>1872600000</v>
      </c>
      <c r="BJ44" s="5">
        <f t="shared" si="13"/>
        <v>1393200000</v>
      </c>
      <c r="BK44" s="3"/>
      <c r="BL44" s="3"/>
      <c r="BM44" s="5">
        <v>15000000</v>
      </c>
      <c r="BN44" s="5">
        <f t="shared" si="14"/>
        <v>464400000</v>
      </c>
      <c r="BO44" s="3"/>
      <c r="BP44" s="3"/>
      <c r="BQ44" s="3"/>
      <c r="BR44" s="3"/>
      <c r="BS44" s="3"/>
      <c r="BT44" s="3"/>
      <c r="BU44" s="3"/>
      <c r="BV44" s="3">
        <v>569000</v>
      </c>
      <c r="BW44" s="3">
        <v>487000</v>
      </c>
      <c r="BX44" s="3">
        <v>-4415000</v>
      </c>
      <c r="BY44" s="3">
        <f t="shared" si="15"/>
        <v>-3359000</v>
      </c>
      <c r="BZ44" s="3">
        <v>195600</v>
      </c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</row>
    <row r="45" spans="1:94" ht="27" customHeight="1" x14ac:dyDescent="0.25">
      <c r="A45" s="2" t="s">
        <v>219</v>
      </c>
      <c r="B45" s="3" t="s">
        <v>197</v>
      </c>
      <c r="C45" s="3" t="s">
        <v>177</v>
      </c>
      <c r="D45" s="3">
        <v>2025</v>
      </c>
      <c r="E45" s="101">
        <v>5.0000000000000001E-3</v>
      </c>
      <c r="F45" s="3">
        <v>4.9500000000000002E-2</v>
      </c>
      <c r="G45" s="3"/>
      <c r="H45" s="3">
        <v>4.9500000000000002E-2</v>
      </c>
      <c r="I45" s="3">
        <v>4.9500000000000002E-2</v>
      </c>
      <c r="J45" s="3">
        <v>10</v>
      </c>
      <c r="K45" s="3">
        <v>10</v>
      </c>
      <c r="L45" s="82"/>
      <c r="M45" s="3"/>
      <c r="N45" s="3">
        <v>60</v>
      </c>
      <c r="O45" s="3"/>
      <c r="P45" s="10">
        <v>0.01</v>
      </c>
      <c r="Q45" s="3"/>
      <c r="R45" s="3"/>
      <c r="S45" s="3"/>
      <c r="T45" s="3"/>
      <c r="U45" s="3"/>
      <c r="V45" s="3"/>
      <c r="W45" s="3"/>
      <c r="X45" s="3"/>
      <c r="Y45" s="4" t="s">
        <v>220</v>
      </c>
      <c r="Z45" s="3"/>
      <c r="AA45" s="3"/>
      <c r="AB45" s="3"/>
      <c r="AC45" s="3" t="s">
        <v>204</v>
      </c>
      <c r="AD45" s="3" t="s">
        <v>204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78">
        <v>0.05</v>
      </c>
      <c r="AV45" s="79">
        <v>0.85</v>
      </c>
      <c r="AW45" s="79">
        <v>0.92200000000000004</v>
      </c>
      <c r="AX45" s="79">
        <f>AW45</f>
        <v>0.92200000000000004</v>
      </c>
      <c r="AY45" s="6">
        <v>1</v>
      </c>
      <c r="AZ45" s="6">
        <v>0</v>
      </c>
      <c r="BA45" s="3">
        <v>3650</v>
      </c>
      <c r="BB45" s="6">
        <v>1</v>
      </c>
      <c r="BC45" s="3"/>
      <c r="BD45" s="3"/>
      <c r="BE45" s="3"/>
      <c r="BF45" s="3"/>
      <c r="BG45" s="3"/>
      <c r="BH45" s="5">
        <v>11000</v>
      </c>
      <c r="BI45" s="3"/>
      <c r="BJ45" s="5">
        <v>8250</v>
      </c>
      <c r="BK45" s="3"/>
      <c r="BL45" s="3"/>
      <c r="BM45" s="3"/>
      <c r="BN45" s="5">
        <v>2750</v>
      </c>
      <c r="BO45" s="3"/>
      <c r="BP45" s="3"/>
      <c r="BQ45" s="3"/>
      <c r="BR45" s="3"/>
      <c r="BS45" s="3"/>
      <c r="BT45" s="3"/>
      <c r="BU45" s="3"/>
      <c r="BV45" s="3"/>
      <c r="BW45" s="3">
        <v>75000</v>
      </c>
      <c r="BX45" s="3">
        <v>200000</v>
      </c>
      <c r="BY45" s="3">
        <f>BX45+BW45</f>
        <v>275000</v>
      </c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</row>
    <row r="46" spans="1:94" ht="27" customHeight="1" x14ac:dyDescent="0.25">
      <c r="A46" s="2" t="s">
        <v>221</v>
      </c>
      <c r="B46" s="3" t="s">
        <v>197</v>
      </c>
      <c r="C46" s="3" t="s">
        <v>177</v>
      </c>
      <c r="D46" s="3">
        <v>2025</v>
      </c>
      <c r="E46" s="3">
        <v>50</v>
      </c>
      <c r="F46" s="3">
        <v>50</v>
      </c>
      <c r="G46" s="3">
        <v>50</v>
      </c>
      <c r="H46" s="3">
        <v>50</v>
      </c>
      <c r="I46" s="3">
        <v>50</v>
      </c>
      <c r="J46" s="3" t="s">
        <v>222</v>
      </c>
      <c r="K46" s="3">
        <v>30</v>
      </c>
      <c r="L46" s="3">
        <v>2</v>
      </c>
      <c r="M46" s="3" t="s">
        <v>209</v>
      </c>
      <c r="N46" s="3" t="s">
        <v>223</v>
      </c>
      <c r="O46" s="4"/>
      <c r="P46" s="4" t="s">
        <v>224</v>
      </c>
      <c r="Q46" s="3" t="s">
        <v>225</v>
      </c>
      <c r="R46" s="3"/>
      <c r="S46" s="3"/>
      <c r="T46" s="3"/>
      <c r="U46" s="3"/>
      <c r="V46" s="3"/>
      <c r="W46" s="3"/>
      <c r="X46" s="3"/>
      <c r="Y46" s="4">
        <v>0.02</v>
      </c>
      <c r="Z46" s="3"/>
      <c r="AA46" s="3">
        <v>3</v>
      </c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6">
        <v>1</v>
      </c>
      <c r="AZ46" s="6"/>
      <c r="BA46" s="3"/>
      <c r="BB46" s="3"/>
      <c r="BC46" s="3">
        <v>50</v>
      </c>
      <c r="BD46" s="3">
        <v>1</v>
      </c>
      <c r="BE46" s="5">
        <v>41480</v>
      </c>
      <c r="BF46" s="3"/>
      <c r="BG46" s="3"/>
      <c r="BH46" s="5">
        <v>2037000000</v>
      </c>
      <c r="BI46" s="5">
        <f>BH46+BM46</f>
        <v>2074000000</v>
      </c>
      <c r="BJ46" s="5">
        <v>1037000000</v>
      </c>
      <c r="BK46" s="3"/>
      <c r="BL46" s="3"/>
      <c r="BM46" s="5">
        <v>37000000</v>
      </c>
      <c r="BN46" s="5">
        <v>1000000000</v>
      </c>
      <c r="BO46" s="3"/>
      <c r="BP46" s="3"/>
      <c r="BQ46" s="3"/>
      <c r="BR46" s="5">
        <v>98000</v>
      </c>
      <c r="BS46" s="5">
        <v>154000</v>
      </c>
      <c r="BT46" s="5">
        <v>-119000</v>
      </c>
      <c r="BU46" s="5">
        <v>-27000</v>
      </c>
      <c r="BV46" s="3"/>
      <c r="BW46" s="3"/>
      <c r="BX46" s="3"/>
      <c r="BY46" s="3"/>
      <c r="BZ46" s="3">
        <v>16000</v>
      </c>
      <c r="CA46" s="3"/>
      <c r="CB46" s="3">
        <v>2.78</v>
      </c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</row>
    <row r="47" spans="1:94" ht="27" customHeight="1" x14ac:dyDescent="0.25">
      <c r="A47" s="2" t="s">
        <v>226</v>
      </c>
      <c r="B47" s="3" t="s">
        <v>197</v>
      </c>
      <c r="C47" s="3" t="s">
        <v>177</v>
      </c>
      <c r="D47" s="3">
        <v>2025</v>
      </c>
      <c r="E47" s="3">
        <v>200</v>
      </c>
      <c r="F47" s="3">
        <v>200</v>
      </c>
      <c r="G47" s="3">
        <v>200</v>
      </c>
      <c r="H47" s="3">
        <v>200</v>
      </c>
      <c r="I47" s="3">
        <v>200</v>
      </c>
      <c r="J47" s="3" t="s">
        <v>222</v>
      </c>
      <c r="K47" s="3">
        <v>30</v>
      </c>
      <c r="L47" s="83" t="s">
        <v>227</v>
      </c>
      <c r="M47" s="3" t="s">
        <v>209</v>
      </c>
      <c r="N47" s="3" t="s">
        <v>228</v>
      </c>
      <c r="O47" s="4"/>
      <c r="P47" s="4" t="s">
        <v>224</v>
      </c>
      <c r="Q47" s="3" t="s">
        <v>225</v>
      </c>
      <c r="R47" s="3"/>
      <c r="S47" s="3"/>
      <c r="T47" s="3"/>
      <c r="U47" s="3"/>
      <c r="V47" s="3"/>
      <c r="W47" s="3"/>
      <c r="X47" s="3"/>
      <c r="Y47" s="4">
        <v>0.02</v>
      </c>
      <c r="Z47" s="3"/>
      <c r="AA47" s="3">
        <v>3</v>
      </c>
      <c r="AB47" s="3"/>
      <c r="AC47" s="3"/>
      <c r="AD47" s="3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6">
        <v>1</v>
      </c>
      <c r="AZ47" s="6">
        <v>0</v>
      </c>
      <c r="BA47" s="2"/>
      <c r="BB47" s="2"/>
      <c r="BC47" s="3">
        <v>200</v>
      </c>
      <c r="BD47" s="3">
        <v>1</v>
      </c>
      <c r="BE47" s="5">
        <v>5300</v>
      </c>
      <c r="BF47" s="3"/>
      <c r="BG47" s="3"/>
      <c r="BH47" s="5">
        <v>1055000000</v>
      </c>
      <c r="BI47" s="5">
        <f t="shared" ref="BI47:BI49" si="16">BH47+BM47</f>
        <v>1065000000</v>
      </c>
      <c r="BJ47" s="5">
        <v>260000000</v>
      </c>
      <c r="BK47" s="2"/>
      <c r="BL47" s="2"/>
      <c r="BM47" s="5">
        <v>10000000</v>
      </c>
      <c r="BN47" s="5">
        <v>795000000</v>
      </c>
      <c r="BO47" s="2"/>
      <c r="BP47" s="2"/>
      <c r="BQ47" s="2"/>
      <c r="BR47" s="5">
        <v>98000</v>
      </c>
      <c r="BS47" s="5">
        <v>20000</v>
      </c>
      <c r="BT47" s="5">
        <v>133000</v>
      </c>
      <c r="BU47" s="5">
        <v>91000</v>
      </c>
      <c r="BV47" s="3"/>
      <c r="BW47" s="3"/>
      <c r="BX47" s="3"/>
      <c r="BY47" s="3"/>
      <c r="BZ47" s="3">
        <v>14400</v>
      </c>
      <c r="CA47" s="3"/>
      <c r="CB47" s="3">
        <v>2.5</v>
      </c>
      <c r="CC47" s="84"/>
      <c r="CD47" s="84"/>
      <c r="CE47" s="84"/>
      <c r="CF47" s="2"/>
      <c r="CG47" s="84"/>
      <c r="CH47" s="84"/>
      <c r="CI47" s="84"/>
      <c r="CJ47" s="84"/>
      <c r="CK47" s="84"/>
      <c r="CL47" s="84"/>
      <c r="CM47" s="84"/>
      <c r="CN47" s="84"/>
      <c r="CO47" s="84"/>
      <c r="CP47" s="84"/>
    </row>
    <row r="48" spans="1:94" ht="27" customHeight="1" x14ac:dyDescent="0.25">
      <c r="A48" s="2" t="s">
        <v>33</v>
      </c>
      <c r="B48" s="3" t="s">
        <v>229</v>
      </c>
      <c r="C48" s="3" t="s">
        <v>177</v>
      </c>
      <c r="D48" s="3">
        <v>2025</v>
      </c>
      <c r="E48" s="3">
        <v>0.3</v>
      </c>
      <c r="F48" s="3">
        <v>1.4550000000000001</v>
      </c>
      <c r="G48" s="3">
        <v>1.4550000000000001</v>
      </c>
      <c r="H48" s="3">
        <v>1.4550000000000001</v>
      </c>
      <c r="I48" s="3">
        <v>1.4550000000000001</v>
      </c>
      <c r="J48" s="3">
        <v>25</v>
      </c>
      <c r="K48" s="3">
        <v>20</v>
      </c>
      <c r="L48" s="3">
        <v>5</v>
      </c>
      <c r="M48" s="3">
        <v>1</v>
      </c>
      <c r="N48" s="3">
        <v>52</v>
      </c>
      <c r="O48" s="4" t="s">
        <v>230</v>
      </c>
      <c r="P48" s="4">
        <v>0.03</v>
      </c>
      <c r="Q48" s="3"/>
      <c r="R48" s="85">
        <v>0.2</v>
      </c>
      <c r="S48" s="3"/>
      <c r="T48" s="3"/>
      <c r="U48" s="3"/>
      <c r="V48" s="3"/>
      <c r="W48" s="3"/>
      <c r="X48" s="3"/>
      <c r="Y48" s="4"/>
      <c r="Z48" s="3"/>
      <c r="AA48" s="3"/>
      <c r="AB48" s="3"/>
      <c r="AC48" s="3"/>
      <c r="AD48" s="3"/>
      <c r="AE48" s="3"/>
      <c r="AF48" s="3"/>
      <c r="AG48" s="3"/>
      <c r="AH48" s="4"/>
      <c r="AI48" s="4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>
        <v>0.3</v>
      </c>
      <c r="BD48" s="3">
        <v>5</v>
      </c>
      <c r="BE48" s="5">
        <v>14950</v>
      </c>
      <c r="BF48" s="3"/>
      <c r="BG48" s="3"/>
      <c r="BH48" s="5">
        <v>2242240</v>
      </c>
      <c r="BI48" s="5">
        <f t="shared" si="16"/>
        <v>2870062</v>
      </c>
      <c r="BJ48" s="5">
        <v>17937784</v>
      </c>
      <c r="BK48" s="3"/>
      <c r="BL48" s="3"/>
      <c r="BM48" s="5">
        <v>627822</v>
      </c>
      <c r="BN48" s="5">
        <v>4484446</v>
      </c>
      <c r="BO48" s="3"/>
      <c r="BP48" s="3"/>
      <c r="BQ48" s="3"/>
      <c r="BR48" s="5">
        <f>1000*(BR56/(BE56*1000))*BE48</f>
        <v>1863017.6380368099</v>
      </c>
      <c r="BS48" s="5">
        <f>(BS56/$BR$56)*BR48</f>
        <v>8598.5429447852766</v>
      </c>
      <c r="BT48" s="5">
        <f>(BT56/$BR$56)*BR48</f>
        <v>-275153.37423312885</v>
      </c>
      <c r="BU48" s="5">
        <f>(BU56/$BR$56)*BR48</f>
        <v>1596462.8067484663</v>
      </c>
      <c r="BV48" s="86"/>
      <c r="BW48" s="86"/>
      <c r="BX48" s="86"/>
      <c r="BY48" s="86"/>
      <c r="BZ48" s="3">
        <v>529900</v>
      </c>
      <c r="CA48" s="3"/>
      <c r="CB48" s="66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1:94" ht="27" customHeight="1" x14ac:dyDescent="0.25">
      <c r="A49" s="2" t="s">
        <v>231</v>
      </c>
      <c r="B49" s="3" t="s">
        <v>229</v>
      </c>
      <c r="C49" s="3" t="s">
        <v>177</v>
      </c>
      <c r="D49" s="3">
        <v>2025</v>
      </c>
      <c r="E49" s="84">
        <v>1.5</v>
      </c>
      <c r="F49" s="84">
        <v>5.82</v>
      </c>
      <c r="G49" s="84">
        <v>5.82</v>
      </c>
      <c r="H49" s="84">
        <v>5.82</v>
      </c>
      <c r="I49" s="84">
        <v>5.82</v>
      </c>
      <c r="J49" s="84">
        <v>20</v>
      </c>
      <c r="K49" s="84">
        <v>20</v>
      </c>
      <c r="L49" s="84" t="s">
        <v>232</v>
      </c>
      <c r="M49" s="84">
        <v>1</v>
      </c>
      <c r="N49" s="84">
        <v>52</v>
      </c>
      <c r="O49" s="31" t="s">
        <v>230</v>
      </c>
      <c r="P49" s="31">
        <v>0.03</v>
      </c>
      <c r="Q49" s="84"/>
      <c r="R49" s="87">
        <v>0.05</v>
      </c>
      <c r="S49" s="84"/>
      <c r="T49" s="84"/>
      <c r="U49" s="84"/>
      <c r="V49" s="84"/>
      <c r="W49" s="84"/>
      <c r="X49" s="84"/>
      <c r="Y49" s="31"/>
      <c r="Z49" s="84"/>
      <c r="AA49" s="84"/>
      <c r="AB49" s="84"/>
      <c r="AC49" s="84"/>
      <c r="AD49" s="84"/>
      <c r="AE49" s="84"/>
      <c r="AF49" s="84"/>
      <c r="AG49" s="84"/>
      <c r="AH49" s="31"/>
      <c r="AI49" s="31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>
        <v>1.5</v>
      </c>
      <c r="BD49" s="84">
        <v>4</v>
      </c>
      <c r="BE49" s="5">
        <v>12420</v>
      </c>
      <c r="BF49" s="84"/>
      <c r="BG49" s="84"/>
      <c r="BH49" s="88">
        <v>72284400</v>
      </c>
      <c r="BI49" s="5">
        <f t="shared" si="16"/>
        <v>74669785</v>
      </c>
      <c r="BJ49" s="88">
        <v>55919211</v>
      </c>
      <c r="BK49" s="3"/>
      <c r="BL49" s="3"/>
      <c r="BM49" s="88">
        <v>2385385</v>
      </c>
      <c r="BN49" s="88">
        <v>13979803</v>
      </c>
      <c r="BO49" s="3"/>
      <c r="BP49" s="3"/>
      <c r="BQ49" s="3"/>
      <c r="BR49" s="5">
        <f>1000*(BR56/(BE56*1000))*BE49</f>
        <v>1547737.7300613497</v>
      </c>
      <c r="BS49" s="5">
        <f>(BS56/$BR$56)*BR49</f>
        <v>7143.4049079754604</v>
      </c>
      <c r="BT49" s="5">
        <f>(BT56/$BR$56)*BR49</f>
        <v>-228588.95705521473</v>
      </c>
      <c r="BU49" s="5">
        <f>(BU56/$BR$56)*BR49</f>
        <v>1326292.1779141105</v>
      </c>
      <c r="BV49" s="89"/>
      <c r="BW49" s="89"/>
      <c r="BX49" s="89"/>
      <c r="BY49" s="89"/>
      <c r="BZ49" s="84">
        <v>496800</v>
      </c>
      <c r="CA49" s="84"/>
      <c r="CB49" s="90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</row>
    <row r="50" spans="1:94" ht="60" x14ac:dyDescent="0.25">
      <c r="A50" s="2" t="s">
        <v>233</v>
      </c>
      <c r="B50" s="3" t="s">
        <v>229</v>
      </c>
      <c r="C50" s="3" t="s">
        <v>177</v>
      </c>
      <c r="D50" s="3">
        <v>2025</v>
      </c>
      <c r="E50" s="3">
        <v>200</v>
      </c>
      <c r="F50" s="3">
        <v>200</v>
      </c>
      <c r="G50" s="3"/>
      <c r="H50" s="3">
        <v>200</v>
      </c>
      <c r="I50" s="3">
        <v>140</v>
      </c>
      <c r="J50" s="3">
        <v>30</v>
      </c>
      <c r="K50" s="3">
        <v>30</v>
      </c>
      <c r="L50" s="3">
        <v>2.5</v>
      </c>
      <c r="M50" s="3">
        <v>1</v>
      </c>
      <c r="N50" s="3">
        <v>26</v>
      </c>
      <c r="O50" s="4">
        <v>0</v>
      </c>
      <c r="P50" s="4">
        <v>2.9000000000000001E-2</v>
      </c>
      <c r="Q50" s="3"/>
      <c r="R50" s="3"/>
      <c r="S50" s="3"/>
      <c r="T50" s="3"/>
      <c r="U50" s="3"/>
      <c r="V50" s="3"/>
      <c r="W50" s="3"/>
      <c r="X50" s="3"/>
      <c r="Y50" s="4">
        <v>1.4999999999999999E-2</v>
      </c>
      <c r="Z50" s="3">
        <v>52</v>
      </c>
      <c r="AA50" s="3"/>
      <c r="AB50" s="3"/>
      <c r="AC50" s="3" t="s">
        <v>234</v>
      </c>
      <c r="AD50" s="3" t="s">
        <v>235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5">
        <f>BH50/1.2/E50/1000</f>
        <v>1080.8333333333335</v>
      </c>
      <c r="BF50" s="3"/>
      <c r="BG50" s="3"/>
      <c r="BH50" s="5">
        <v>259400000</v>
      </c>
      <c r="BI50" s="5">
        <v>324142000</v>
      </c>
      <c r="BJ50" s="5">
        <v>146900000</v>
      </c>
      <c r="BK50" s="5"/>
      <c r="BL50" s="5"/>
      <c r="BM50" s="5">
        <v>64742000</v>
      </c>
      <c r="BN50" s="5">
        <v>112500000</v>
      </c>
      <c r="BO50" s="3"/>
      <c r="BP50" s="3"/>
      <c r="BQ50" s="3"/>
      <c r="BR50" s="5">
        <v>104000</v>
      </c>
      <c r="BS50" s="5">
        <v>1000</v>
      </c>
      <c r="BT50" s="5">
        <v>5000</v>
      </c>
      <c r="BU50" s="5">
        <v>110000</v>
      </c>
      <c r="BV50" s="5"/>
      <c r="BW50" s="5"/>
      <c r="BX50" s="5"/>
      <c r="BY50" s="5"/>
      <c r="BZ50" s="5">
        <v>12000</v>
      </c>
      <c r="CA50" s="3"/>
      <c r="CB50" s="3" t="s">
        <v>236</v>
      </c>
      <c r="CC50" s="91">
        <v>137</v>
      </c>
      <c r="CD50" s="91">
        <v>8</v>
      </c>
      <c r="CE50" s="67" t="s">
        <v>237</v>
      </c>
      <c r="CF50" s="67"/>
      <c r="CG50" s="67" t="s">
        <v>238</v>
      </c>
      <c r="CH50" s="67">
        <v>12</v>
      </c>
      <c r="CI50" s="67"/>
      <c r="CJ50" s="67"/>
      <c r="CK50" s="67"/>
      <c r="CL50" s="67"/>
      <c r="CM50" s="67"/>
      <c r="CN50" s="67"/>
      <c r="CO50" s="67"/>
      <c r="CP50" s="67"/>
    </row>
    <row r="51" spans="1:94" ht="60" x14ac:dyDescent="0.25">
      <c r="A51" s="2" t="s">
        <v>239</v>
      </c>
      <c r="B51" s="3" t="s">
        <v>229</v>
      </c>
      <c r="C51" s="3" t="s">
        <v>177</v>
      </c>
      <c r="D51" s="3">
        <v>2025</v>
      </c>
      <c r="E51" s="2">
        <v>20</v>
      </c>
      <c r="F51" s="2">
        <v>20</v>
      </c>
      <c r="G51" s="2"/>
      <c r="H51" s="2">
        <v>20</v>
      </c>
      <c r="I51" s="2">
        <v>15</v>
      </c>
      <c r="J51" s="2">
        <v>30</v>
      </c>
      <c r="K51" s="2">
        <v>30</v>
      </c>
      <c r="L51" s="2">
        <v>1.5</v>
      </c>
      <c r="M51" s="2">
        <v>0.5</v>
      </c>
      <c r="N51" s="2">
        <v>26</v>
      </c>
      <c r="O51" s="2">
        <v>0</v>
      </c>
      <c r="P51" s="2">
        <v>2.9</v>
      </c>
      <c r="Q51" s="2"/>
      <c r="R51" s="2"/>
      <c r="S51" s="2"/>
      <c r="T51" s="2"/>
      <c r="U51" s="2"/>
      <c r="V51" s="2"/>
      <c r="W51" s="2"/>
      <c r="X51" s="2"/>
      <c r="Y51" s="2">
        <v>1.5</v>
      </c>
      <c r="Z51" s="2" t="s">
        <v>240</v>
      </c>
      <c r="AA51" s="2" t="s">
        <v>240</v>
      </c>
      <c r="AB51" s="2"/>
      <c r="AC51" s="3" t="s">
        <v>234</v>
      </c>
      <c r="AD51" s="3" t="s">
        <v>235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5">
        <f t="shared" ref="BE51" si="17">BH51/1.3/E51/1000</f>
        <v>1361.5384615384614</v>
      </c>
      <c r="BF51" s="2"/>
      <c r="BG51" s="2"/>
      <c r="BH51" s="65">
        <v>35400000</v>
      </c>
      <c r="BI51" s="65">
        <v>42414000</v>
      </c>
      <c r="BJ51" s="65">
        <v>20000000</v>
      </c>
      <c r="BK51" s="65"/>
      <c r="BL51" s="65"/>
      <c r="BM51" s="65">
        <v>7014000</v>
      </c>
      <c r="BN51" s="65">
        <v>15400000</v>
      </c>
      <c r="BO51" s="2"/>
      <c r="BP51" s="2"/>
      <c r="BQ51" s="2"/>
      <c r="BR51" s="65">
        <v>135000</v>
      </c>
      <c r="BS51" s="65">
        <v>1000</v>
      </c>
      <c r="BT51" s="65">
        <v>6000</v>
      </c>
      <c r="BU51" s="65">
        <v>142000</v>
      </c>
      <c r="BV51" s="65"/>
      <c r="BW51" s="65"/>
      <c r="BX51" s="65"/>
      <c r="BY51" s="65"/>
      <c r="BZ51" s="65">
        <v>12500</v>
      </c>
      <c r="CA51" s="2"/>
      <c r="CB51" s="3" t="s">
        <v>236</v>
      </c>
      <c r="CC51" s="2">
        <v>137</v>
      </c>
      <c r="CD51" s="2">
        <v>2</v>
      </c>
      <c r="CE51" s="3" t="s">
        <v>241</v>
      </c>
      <c r="CF51" s="2"/>
      <c r="CG51" s="3" t="s">
        <v>238</v>
      </c>
      <c r="CH51" s="3">
        <v>12.5</v>
      </c>
      <c r="CI51" s="2"/>
      <c r="CJ51" s="2"/>
      <c r="CK51" s="2"/>
      <c r="CL51" s="2"/>
      <c r="CM51" s="2"/>
      <c r="CN51" s="2"/>
      <c r="CO51" s="2"/>
      <c r="CP51" s="2"/>
    </row>
    <row r="52" spans="1:94" ht="45" x14ac:dyDescent="0.25">
      <c r="A52" s="2" t="s">
        <v>242</v>
      </c>
      <c r="B52" s="3" t="s">
        <v>229</v>
      </c>
      <c r="C52" s="3" t="s">
        <v>177</v>
      </c>
      <c r="D52" s="3">
        <v>2025</v>
      </c>
      <c r="E52" s="2">
        <v>5</v>
      </c>
      <c r="F52" s="2">
        <v>5</v>
      </c>
      <c r="G52" s="2"/>
      <c r="H52" s="2">
        <v>5</v>
      </c>
      <c r="I52" s="2">
        <v>3.5</v>
      </c>
      <c r="J52" s="2">
        <v>30</v>
      </c>
      <c r="K52" s="2">
        <v>30</v>
      </c>
      <c r="L52" s="2">
        <v>1</v>
      </c>
      <c r="M52" s="2">
        <v>0.25</v>
      </c>
      <c r="N52" s="2">
        <v>12</v>
      </c>
      <c r="O52" s="2">
        <v>0</v>
      </c>
      <c r="P52" s="2">
        <v>2.9</v>
      </c>
      <c r="Q52" s="2"/>
      <c r="R52" s="2"/>
      <c r="S52" s="2"/>
      <c r="T52" s="2"/>
      <c r="U52" s="2"/>
      <c r="V52" s="2"/>
      <c r="W52" s="2"/>
      <c r="X52" s="2"/>
      <c r="Y52" s="2">
        <v>1.5</v>
      </c>
      <c r="Z52" s="2" t="s">
        <v>240</v>
      </c>
      <c r="AA52" s="2" t="s">
        <v>240</v>
      </c>
      <c r="AB52" s="2"/>
      <c r="AC52" s="3" t="s">
        <v>234</v>
      </c>
      <c r="AD52" s="3" t="s">
        <v>235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5">
        <f>BH52/1.5/E52/1000</f>
        <v>1506.6666666666665</v>
      </c>
      <c r="BF52" s="2"/>
      <c r="BG52" s="2"/>
      <c r="BH52" s="65">
        <v>11300000</v>
      </c>
      <c r="BI52" s="65">
        <v>13323000</v>
      </c>
      <c r="BJ52" s="65">
        <v>6400000</v>
      </c>
      <c r="BK52" s="65"/>
      <c r="BL52" s="65"/>
      <c r="BM52" s="65">
        <v>2023000</v>
      </c>
      <c r="BN52" s="65">
        <v>4900000</v>
      </c>
      <c r="BO52" s="2"/>
      <c r="BP52" s="2"/>
      <c r="BQ52" s="2"/>
      <c r="BR52" s="5">
        <v>200000</v>
      </c>
      <c r="BS52" s="5">
        <v>1000</v>
      </c>
      <c r="BT52" s="5">
        <v>7000</v>
      </c>
      <c r="BU52" s="5">
        <v>208000</v>
      </c>
      <c r="BV52" s="5"/>
      <c r="BW52" s="5"/>
      <c r="BX52" s="5"/>
      <c r="BY52" s="5"/>
      <c r="BZ52" s="65">
        <v>13360</v>
      </c>
      <c r="CA52" s="2"/>
      <c r="CB52" s="3" t="s">
        <v>236</v>
      </c>
      <c r="CC52" s="2">
        <v>130</v>
      </c>
      <c r="CD52" s="2">
        <v>1</v>
      </c>
      <c r="CE52" s="3" t="s">
        <v>243</v>
      </c>
      <c r="CF52" s="2"/>
      <c r="CG52" s="3" t="s">
        <v>238</v>
      </c>
      <c r="CH52" s="3">
        <v>13.36</v>
      </c>
      <c r="CI52" s="2"/>
      <c r="CJ52" s="2"/>
      <c r="CK52" s="2"/>
      <c r="CL52" s="2"/>
      <c r="CM52" s="2"/>
      <c r="CN52" s="2"/>
      <c r="CO52" s="2"/>
      <c r="CP52" s="2"/>
    </row>
    <row r="53" spans="1:94" ht="45" x14ac:dyDescent="0.25">
      <c r="A53" s="2" t="s">
        <v>244</v>
      </c>
      <c r="B53" s="3" t="s">
        <v>229</v>
      </c>
      <c r="C53" s="3" t="s">
        <v>177</v>
      </c>
      <c r="D53" s="3">
        <v>2025</v>
      </c>
      <c r="E53" s="2">
        <v>1</v>
      </c>
      <c r="F53" s="2">
        <v>1</v>
      </c>
      <c r="G53" s="2"/>
      <c r="H53" s="2">
        <v>1</v>
      </c>
      <c r="I53" s="2">
        <v>0.75</v>
      </c>
      <c r="J53" s="2">
        <v>25</v>
      </c>
      <c r="K53" s="2">
        <v>25</v>
      </c>
      <c r="L53" s="2">
        <v>0.5</v>
      </c>
      <c r="M53" s="2">
        <v>0.25</v>
      </c>
      <c r="N53" s="2">
        <v>12</v>
      </c>
      <c r="O53" s="2">
        <v>0</v>
      </c>
      <c r="P53" s="2">
        <v>2.9</v>
      </c>
      <c r="Q53" s="2"/>
      <c r="R53" s="2"/>
      <c r="S53" s="2"/>
      <c r="T53" s="2"/>
      <c r="U53" s="2"/>
      <c r="V53" s="2"/>
      <c r="W53" s="2"/>
      <c r="X53" s="2"/>
      <c r="Y53" s="2">
        <v>1.5</v>
      </c>
      <c r="Z53" s="2" t="s">
        <v>240</v>
      </c>
      <c r="AA53" s="2" t="s">
        <v>240</v>
      </c>
      <c r="AB53" s="2"/>
      <c r="AC53" s="3" t="s">
        <v>234</v>
      </c>
      <c r="AD53" s="3" t="s">
        <v>235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5">
        <f>BH53/1.2/1000</f>
        <v>1225</v>
      </c>
      <c r="BF53" s="2"/>
      <c r="BG53" s="2"/>
      <c r="BH53" s="65">
        <v>1470000</v>
      </c>
      <c r="BI53" s="65">
        <v>1470000</v>
      </c>
      <c r="BJ53" s="65">
        <v>830000</v>
      </c>
      <c r="BK53" s="65"/>
      <c r="BL53" s="65"/>
      <c r="BM53" s="65">
        <v>0</v>
      </c>
      <c r="BN53" s="65">
        <v>640000</v>
      </c>
      <c r="BO53" s="2"/>
      <c r="BP53" s="2"/>
      <c r="BQ53" s="2"/>
      <c r="BR53" s="65">
        <v>256000</v>
      </c>
      <c r="BS53" s="65">
        <v>1000</v>
      </c>
      <c r="BT53" s="65">
        <v>13000</v>
      </c>
      <c r="BU53" s="65">
        <v>270000</v>
      </c>
      <c r="BV53" s="65"/>
      <c r="BW53" s="65"/>
      <c r="BX53" s="65"/>
      <c r="BY53" s="65"/>
      <c r="BZ53" s="65">
        <v>15000</v>
      </c>
      <c r="CA53" s="2"/>
      <c r="CB53" s="3" t="s">
        <v>236</v>
      </c>
      <c r="CC53" s="2">
        <v>130</v>
      </c>
      <c r="CD53" s="2">
        <v>1</v>
      </c>
      <c r="CE53" s="3" t="s">
        <v>243</v>
      </c>
      <c r="CF53" s="2"/>
      <c r="CG53" s="3" t="s">
        <v>238</v>
      </c>
      <c r="CH53" s="3">
        <v>15</v>
      </c>
      <c r="CI53" s="2"/>
      <c r="CJ53" s="2"/>
      <c r="CK53" s="2"/>
      <c r="CL53" s="2"/>
      <c r="CM53" s="2"/>
      <c r="CN53" s="2"/>
      <c r="CO53" s="2"/>
      <c r="CP53" s="2"/>
    </row>
    <row r="54" spans="1:94" ht="90" x14ac:dyDescent="0.25">
      <c r="A54" s="2" t="s">
        <v>245</v>
      </c>
      <c r="B54" s="3" t="s">
        <v>229</v>
      </c>
      <c r="C54" s="3" t="s">
        <v>177</v>
      </c>
      <c r="D54" s="3">
        <v>2025</v>
      </c>
      <c r="E54" s="3">
        <v>150</v>
      </c>
      <c r="F54" s="3">
        <v>140</v>
      </c>
      <c r="G54" s="3"/>
      <c r="H54" s="3">
        <v>140</v>
      </c>
      <c r="I54" s="3">
        <v>140</v>
      </c>
      <c r="J54" s="3">
        <v>40</v>
      </c>
      <c r="K54" s="3">
        <v>30</v>
      </c>
      <c r="L54" s="3">
        <v>2.5</v>
      </c>
      <c r="M54" s="3">
        <v>1.75</v>
      </c>
      <c r="N54" s="3">
        <v>91</v>
      </c>
      <c r="O54" s="6">
        <v>0.2</v>
      </c>
      <c r="P54" s="6">
        <v>6.7000000000000004E-2</v>
      </c>
      <c r="Q54" s="3"/>
      <c r="R54" s="3"/>
      <c r="S54" s="3"/>
      <c r="T54" s="3"/>
      <c r="U54" s="3"/>
      <c r="V54" s="3"/>
      <c r="W54" s="3"/>
      <c r="X54" s="3"/>
      <c r="Y54" s="4">
        <v>0.03</v>
      </c>
      <c r="Z54" s="3"/>
      <c r="AA54" s="3">
        <v>7</v>
      </c>
      <c r="AB54" s="3"/>
      <c r="AC54" s="3">
        <v>360</v>
      </c>
      <c r="AD54" s="3">
        <v>360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5"/>
      <c r="BF54" s="5">
        <f>BH54/F54/1000</f>
        <v>6887.1428571428569</v>
      </c>
      <c r="BG54" s="5">
        <f>BF54/14</f>
        <v>491.93877551020404</v>
      </c>
      <c r="BH54" s="5">
        <v>964200000</v>
      </c>
      <c r="BI54" s="5">
        <v>1058616000</v>
      </c>
      <c r="BJ54" s="5">
        <v>433890000</v>
      </c>
      <c r="BK54" s="5"/>
      <c r="BL54" s="5"/>
      <c r="BM54" s="5">
        <v>94416000</v>
      </c>
      <c r="BN54" s="5">
        <v>530310000.00000006</v>
      </c>
      <c r="BO54" s="3"/>
      <c r="BP54" s="3"/>
      <c r="BQ54" s="3"/>
      <c r="BR54" s="5">
        <v>246000</v>
      </c>
      <c r="BS54" s="5">
        <v>141000</v>
      </c>
      <c r="BT54" s="5">
        <v>-3000</v>
      </c>
      <c r="BU54" s="5">
        <v>384000</v>
      </c>
      <c r="BV54" s="5"/>
      <c r="BW54" s="5"/>
      <c r="BX54" s="5"/>
      <c r="BY54" s="5"/>
      <c r="BZ54" s="5">
        <f>ROUND((0.03*(284+167)+0.01*464)*145.1/137.7*1000000/140,-3)</f>
        <v>137000</v>
      </c>
      <c r="CA54" s="3"/>
      <c r="CB54" s="3" t="s">
        <v>236</v>
      </c>
      <c r="CC54" s="3" t="str">
        <f>ROUND(BF54*0.3,-1)&amp;" - "&amp;ROUND(BF54*0.45,-1)</f>
        <v>2070 - 3100</v>
      </c>
      <c r="CD54" s="3" t="s">
        <v>246</v>
      </c>
      <c r="CE54" s="3" t="s">
        <v>247</v>
      </c>
      <c r="CF54" s="3" t="s">
        <v>248</v>
      </c>
      <c r="CG54" s="3" t="s">
        <v>249</v>
      </c>
      <c r="CH54" s="92"/>
      <c r="CI54" s="3"/>
      <c r="CJ54" s="3"/>
      <c r="CK54" s="93" t="s">
        <v>250</v>
      </c>
      <c r="CL54" s="3" t="s">
        <v>251</v>
      </c>
      <c r="CM54" s="3" t="s">
        <v>252</v>
      </c>
      <c r="CN54" s="3" t="s">
        <v>253</v>
      </c>
      <c r="CO54" s="3" t="s">
        <v>253</v>
      </c>
      <c r="CP54" s="3" t="s">
        <v>253</v>
      </c>
    </row>
    <row r="55" spans="1:94" ht="27" customHeight="1" x14ac:dyDescent="0.25">
      <c r="A55" s="2" t="s">
        <v>31</v>
      </c>
      <c r="B55" s="3" t="s">
        <v>229</v>
      </c>
      <c r="C55" s="3" t="s">
        <v>177</v>
      </c>
      <c r="D55" s="3">
        <v>2025</v>
      </c>
      <c r="E55" s="3">
        <v>7.2</v>
      </c>
      <c r="F55" s="3">
        <v>698.4</v>
      </c>
      <c r="G55" s="3">
        <v>698.4</v>
      </c>
      <c r="H55" s="3">
        <v>698.4</v>
      </c>
      <c r="I55" s="3">
        <v>698.4</v>
      </c>
      <c r="J55" s="3">
        <v>30</v>
      </c>
      <c r="K55" s="3">
        <v>25</v>
      </c>
      <c r="L55" s="81" t="s">
        <v>254</v>
      </c>
      <c r="M55" s="3">
        <v>1</v>
      </c>
      <c r="N55" s="3">
        <v>100</v>
      </c>
      <c r="O55" s="4" t="s">
        <v>230</v>
      </c>
      <c r="P55" s="4">
        <v>0.03</v>
      </c>
      <c r="Q55" s="75"/>
      <c r="R55" s="7">
        <v>2.5000000000000001E-2</v>
      </c>
      <c r="S55" s="75"/>
      <c r="T55" s="75"/>
      <c r="U55" s="75"/>
      <c r="V55" s="75"/>
      <c r="W55" s="75"/>
      <c r="X55" s="75"/>
      <c r="Y55" s="47"/>
      <c r="Z55" s="75"/>
      <c r="AA55" s="75"/>
      <c r="AB55" s="75"/>
      <c r="AC55" s="75"/>
      <c r="AD55" s="75"/>
      <c r="AE55" s="75"/>
      <c r="AF55" s="75"/>
      <c r="AG55" s="75"/>
      <c r="AH55" s="47"/>
      <c r="AI55" s="75"/>
      <c r="AJ55" s="75"/>
      <c r="AK55" s="75"/>
      <c r="AL55" s="75"/>
      <c r="AM55" s="75"/>
      <c r="AN55" s="75"/>
      <c r="AO55" s="75"/>
      <c r="AP55" s="75"/>
      <c r="AQ55" s="47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3">
        <v>7.2</v>
      </c>
      <c r="BD55" s="3">
        <v>100</v>
      </c>
      <c r="BE55" s="5">
        <v>3150</v>
      </c>
      <c r="BF55" s="3"/>
      <c r="BG55" s="11"/>
      <c r="BH55" s="5">
        <f>SUM(BN55,BJ55)</f>
        <v>2212900000</v>
      </c>
      <c r="BI55" s="5">
        <f>BH55+BM55</f>
        <v>2268225000</v>
      </c>
      <c r="BJ55" s="5">
        <v>1549000000</v>
      </c>
      <c r="BK55" s="3"/>
      <c r="BL55" s="3"/>
      <c r="BM55" s="5">
        <v>55325000</v>
      </c>
      <c r="BN55" s="5">
        <v>663900000</v>
      </c>
      <c r="BO55" s="3"/>
      <c r="BP55" s="3"/>
      <c r="BQ55" s="3"/>
      <c r="BR55" s="86">
        <v>181000</v>
      </c>
      <c r="BS55" s="5">
        <v>4500</v>
      </c>
      <c r="BT55" s="5">
        <v>-24500</v>
      </c>
      <c r="BU55" s="5">
        <v>161000</v>
      </c>
      <c r="BV55" s="5"/>
      <c r="BW55" s="5"/>
      <c r="BX55" s="5"/>
      <c r="BY55" s="5"/>
      <c r="BZ55" s="5">
        <v>29000</v>
      </c>
      <c r="CA55" s="5"/>
      <c r="CB55" s="5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4" ht="27" customHeight="1" x14ac:dyDescent="0.25">
      <c r="A56" s="2" t="s">
        <v>255</v>
      </c>
      <c r="B56" s="3" t="s">
        <v>229</v>
      </c>
      <c r="C56" s="3" t="s">
        <v>177</v>
      </c>
      <c r="D56" s="3">
        <v>2025</v>
      </c>
      <c r="E56" s="3">
        <v>15</v>
      </c>
      <c r="F56" s="3">
        <v>1152</v>
      </c>
      <c r="G56" s="3">
        <v>1152</v>
      </c>
      <c r="H56" s="3">
        <v>1152</v>
      </c>
      <c r="I56" s="3">
        <v>1152</v>
      </c>
      <c r="J56" s="3">
        <v>30</v>
      </c>
      <c r="K56" s="3">
        <v>25</v>
      </c>
      <c r="L56" s="3" t="s">
        <v>256</v>
      </c>
      <c r="M56" s="3">
        <v>3</v>
      </c>
      <c r="N56" s="3">
        <v>156</v>
      </c>
      <c r="O56" s="4" t="s">
        <v>230</v>
      </c>
      <c r="P56" s="4">
        <v>0.04</v>
      </c>
      <c r="Q56" s="75"/>
      <c r="R56" s="85">
        <v>0.05</v>
      </c>
      <c r="S56" s="75"/>
      <c r="T56" s="75"/>
      <c r="U56" s="75"/>
      <c r="V56" s="75"/>
      <c r="W56" s="75"/>
      <c r="X56" s="75"/>
      <c r="Y56" s="47"/>
      <c r="Z56" s="75"/>
      <c r="AA56" s="75"/>
      <c r="AB56" s="75"/>
      <c r="AC56" s="75"/>
      <c r="AD56" s="75"/>
      <c r="AE56" s="75"/>
      <c r="AF56" s="75"/>
      <c r="AG56" s="75"/>
      <c r="AH56" s="47"/>
      <c r="AI56" s="75"/>
      <c r="AJ56" s="75"/>
      <c r="AK56" s="75"/>
      <c r="AL56" s="75"/>
      <c r="AM56" s="75"/>
      <c r="AN56" s="75"/>
      <c r="AO56" s="75"/>
      <c r="AP56" s="75"/>
      <c r="AQ56" s="47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3">
        <v>15</v>
      </c>
      <c r="BD56" s="3">
        <v>80</v>
      </c>
      <c r="BE56" s="5">
        <v>5216</v>
      </c>
      <c r="BF56" s="3"/>
      <c r="BG56" s="3"/>
      <c r="BH56" s="5">
        <f>SUM(BN56,BJ56)</f>
        <v>5963375881</v>
      </c>
      <c r="BI56" s="5">
        <f>BH56+BM56</f>
        <v>6259200000</v>
      </c>
      <c r="BJ56" s="5">
        <v>4085615881</v>
      </c>
      <c r="BK56" s="3"/>
      <c r="BL56" s="3"/>
      <c r="BM56" s="5">
        <v>295824119</v>
      </c>
      <c r="BN56" s="5">
        <v>1877760000</v>
      </c>
      <c r="BO56" s="3"/>
      <c r="BP56" s="3"/>
      <c r="BQ56" s="3"/>
      <c r="BR56" s="86">
        <v>650000</v>
      </c>
      <c r="BS56" s="5">
        <v>3000</v>
      </c>
      <c r="BT56" s="5">
        <v>-96000</v>
      </c>
      <c r="BU56" s="5">
        <v>557000</v>
      </c>
      <c r="BV56" s="5"/>
      <c r="BW56" s="5"/>
      <c r="BX56" s="5"/>
      <c r="BY56" s="5"/>
      <c r="BZ56" s="5">
        <v>175000</v>
      </c>
      <c r="CA56" s="5"/>
      <c r="CB56" s="5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 ht="27" customHeight="1" x14ac:dyDescent="0.25">
      <c r="A57" s="2" t="s">
        <v>257</v>
      </c>
      <c r="B57" s="3" t="s">
        <v>229</v>
      </c>
      <c r="C57" s="3" t="s">
        <v>177</v>
      </c>
      <c r="D57" s="3">
        <v>2025</v>
      </c>
      <c r="E57" s="3">
        <v>15</v>
      </c>
      <c r="F57" s="3">
        <v>418</v>
      </c>
      <c r="G57" s="3">
        <v>418</v>
      </c>
      <c r="H57" s="3">
        <v>418</v>
      </c>
      <c r="I57" s="3">
        <v>418</v>
      </c>
      <c r="J57" s="3">
        <v>30</v>
      </c>
      <c r="K57" s="3">
        <v>25</v>
      </c>
      <c r="L57" s="3" t="s">
        <v>256</v>
      </c>
      <c r="M57" s="3">
        <v>3</v>
      </c>
      <c r="N57" s="3">
        <v>156</v>
      </c>
      <c r="O57" s="4" t="s">
        <v>230</v>
      </c>
      <c r="P57" s="4">
        <v>0.04</v>
      </c>
      <c r="Q57" s="3"/>
      <c r="R57" s="85">
        <v>0.05</v>
      </c>
      <c r="S57" s="3"/>
      <c r="T57" s="3"/>
      <c r="U57" s="3"/>
      <c r="V57" s="3"/>
      <c r="W57" s="3"/>
      <c r="X57" s="3"/>
      <c r="Y57" s="4"/>
      <c r="Z57" s="3"/>
      <c r="AA57" s="3"/>
      <c r="AB57" s="3"/>
      <c r="AC57" s="3"/>
      <c r="AD57" s="3"/>
      <c r="AE57" s="3"/>
      <c r="AF57" s="3"/>
      <c r="AG57" s="3"/>
      <c r="AH57" s="4"/>
      <c r="AI57" s="4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>
        <v>15</v>
      </c>
      <c r="BD57" s="3">
        <v>29</v>
      </c>
      <c r="BE57" s="5">
        <v>8000</v>
      </c>
      <c r="BF57" s="3"/>
      <c r="BG57" s="3"/>
      <c r="BH57" s="5">
        <f>SUM(BN57,BJ57)</f>
        <v>3378156364.6136036</v>
      </c>
      <c r="BI57" s="5">
        <f>BH57+BM57</f>
        <v>3479947623.6136036</v>
      </c>
      <c r="BJ57" s="5">
        <v>2435963336.6136036</v>
      </c>
      <c r="BK57" s="3"/>
      <c r="BL57" s="3"/>
      <c r="BM57" s="5">
        <v>101791259</v>
      </c>
      <c r="BN57" s="5">
        <v>942193028</v>
      </c>
      <c r="BO57" s="3"/>
      <c r="BP57" s="3"/>
      <c r="BQ57" s="3"/>
      <c r="BR57" s="86">
        <v>275000</v>
      </c>
      <c r="BS57" s="5">
        <v>3000</v>
      </c>
      <c r="BT57" s="5">
        <v>-96000</v>
      </c>
      <c r="BU57" s="5">
        <v>182000</v>
      </c>
      <c r="BV57" s="5"/>
      <c r="BW57" s="5"/>
      <c r="BX57" s="5"/>
      <c r="BY57" s="5"/>
      <c r="BZ57" s="5">
        <v>201765</v>
      </c>
      <c r="CA57" s="5"/>
      <c r="CB57" s="5"/>
      <c r="CC57" s="5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94" ht="27" customHeight="1" x14ac:dyDescent="0.25">
      <c r="A58" s="2" t="s">
        <v>258</v>
      </c>
      <c r="B58" s="3" t="s">
        <v>258</v>
      </c>
      <c r="C58" s="3" t="s">
        <v>259</v>
      </c>
      <c r="D58" s="3">
        <v>2025</v>
      </c>
      <c r="E58" s="3">
        <v>30</v>
      </c>
      <c r="F58" s="3">
        <v>26.4</v>
      </c>
      <c r="G58" s="3"/>
      <c r="H58" s="3">
        <v>25.7</v>
      </c>
      <c r="I58" s="3">
        <v>26.8</v>
      </c>
      <c r="J58" s="3">
        <v>30</v>
      </c>
      <c r="K58" s="3">
        <v>25</v>
      </c>
      <c r="L58" s="3">
        <v>3</v>
      </c>
      <c r="M58" s="3">
        <v>1.75</v>
      </c>
      <c r="N58" s="3">
        <v>165</v>
      </c>
      <c r="O58" s="4">
        <v>0.4</v>
      </c>
      <c r="P58" s="4">
        <v>7.2999999999999995E-2</v>
      </c>
      <c r="Q58" s="3"/>
      <c r="R58" s="3"/>
      <c r="S58" s="3"/>
      <c r="T58" s="3"/>
      <c r="U58" s="3"/>
      <c r="V58" s="3"/>
      <c r="W58" s="3"/>
      <c r="X58" s="3"/>
      <c r="Y58" s="4"/>
      <c r="Z58" s="3"/>
      <c r="AA58" s="3">
        <v>22.8</v>
      </c>
      <c r="AB58" s="3"/>
      <c r="AC58" s="3">
        <v>72</v>
      </c>
      <c r="AD58" s="3">
        <v>72</v>
      </c>
      <c r="AE58" s="3"/>
      <c r="AF58" s="3"/>
      <c r="AG58" s="3"/>
      <c r="AH58" s="4"/>
      <c r="AI58" s="4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5">
        <v>25796.5</v>
      </c>
      <c r="BF58" s="3"/>
      <c r="BG58" s="5"/>
      <c r="BH58" s="5">
        <f>BE58*26.4*1000</f>
        <v>681027600</v>
      </c>
      <c r="BI58" s="5">
        <f>BH58*1.1</f>
        <v>749130360.00000012</v>
      </c>
      <c r="BJ58" s="5">
        <f>BH58*0.6</f>
        <v>408616560</v>
      </c>
      <c r="BK58" s="3"/>
      <c r="BL58" s="3"/>
      <c r="BM58" s="5">
        <f>BH58*0.1</f>
        <v>68102760</v>
      </c>
      <c r="BN58" s="5">
        <f>BH58*0.4</f>
        <v>272411040</v>
      </c>
      <c r="BO58" s="3"/>
      <c r="BP58" s="3"/>
      <c r="BQ58" s="3"/>
      <c r="BR58" s="94">
        <v>150000</v>
      </c>
      <c r="BS58" s="88">
        <v>2000</v>
      </c>
      <c r="BT58" s="88">
        <v>11400</v>
      </c>
      <c r="BU58" s="88">
        <v>140600</v>
      </c>
      <c r="BV58" s="5"/>
      <c r="BW58" s="5"/>
      <c r="BX58" s="5"/>
      <c r="BY58" s="5"/>
      <c r="BZ58" s="5">
        <f>BH58*0.03/26.4</f>
        <v>773895</v>
      </c>
      <c r="CA58" s="5"/>
      <c r="CB58" s="95">
        <f>BH58*0.01/(26.4*24*365*0.898)</f>
        <v>32.792939154488415</v>
      </c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 ht="90" x14ac:dyDescent="0.25">
      <c r="A59" s="2" t="s">
        <v>260</v>
      </c>
      <c r="B59" s="3" t="s">
        <v>229</v>
      </c>
      <c r="C59" s="3" t="s">
        <v>261</v>
      </c>
      <c r="D59" s="3">
        <v>2025</v>
      </c>
      <c r="E59" s="3">
        <v>4.4999999999999998E-2</v>
      </c>
      <c r="F59" s="3">
        <v>4.0500000000000001E-2</v>
      </c>
      <c r="G59" s="3"/>
      <c r="H59" s="3"/>
      <c r="I59" s="3"/>
      <c r="J59" s="3">
        <v>20</v>
      </c>
      <c r="K59" s="3">
        <v>20</v>
      </c>
      <c r="L59" s="3" t="s">
        <v>262</v>
      </c>
      <c r="M59" s="3" t="s">
        <v>262</v>
      </c>
      <c r="N59" s="3">
        <v>20</v>
      </c>
      <c r="O59" s="4">
        <v>0.25</v>
      </c>
      <c r="P59" s="4">
        <v>0.1</v>
      </c>
      <c r="Q59" s="3"/>
      <c r="R59" s="3"/>
      <c r="S59" s="3"/>
      <c r="T59" s="3"/>
      <c r="U59" s="3"/>
      <c r="V59" s="3"/>
      <c r="W59" s="3"/>
      <c r="X59" s="3"/>
      <c r="Y59" s="3"/>
      <c r="Z59" s="3" t="s">
        <v>263</v>
      </c>
      <c r="AA59" s="3">
        <v>7</v>
      </c>
      <c r="AB59" s="3"/>
      <c r="AC59" s="3" t="s">
        <v>264</v>
      </c>
      <c r="AD59" s="3" t="s">
        <v>264</v>
      </c>
      <c r="AE59" s="3"/>
      <c r="AF59" s="3"/>
      <c r="AG59" s="3"/>
      <c r="AH59" s="3"/>
      <c r="AI59" s="3"/>
      <c r="AJ59" s="3"/>
      <c r="AK59" s="96">
        <v>2.8</v>
      </c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>
        <v>4.4999999999999998E-2</v>
      </c>
      <c r="BD59" s="3">
        <v>1</v>
      </c>
      <c r="BE59" s="2"/>
      <c r="BF59" s="5">
        <v>7000</v>
      </c>
      <c r="BG59" s="2"/>
      <c r="BH59" s="69">
        <f>BF59*E59*1000</f>
        <v>315000</v>
      </c>
      <c r="BI59" s="69">
        <f>BH59+BM59</f>
        <v>331000</v>
      </c>
      <c r="BJ59" s="69">
        <f>0.45*BH59</f>
        <v>141750</v>
      </c>
      <c r="BK59" s="5"/>
      <c r="BL59" s="5"/>
      <c r="BM59" s="69">
        <v>16000</v>
      </c>
      <c r="BN59" s="2">
        <f>BH59-BJ59</f>
        <v>173250</v>
      </c>
      <c r="BO59" s="3"/>
      <c r="BP59" s="3"/>
      <c r="BQ59" s="66"/>
      <c r="BR59" s="2"/>
      <c r="BS59" s="2"/>
      <c r="BT59" s="2"/>
      <c r="BU59" s="2"/>
      <c r="BV59" s="74">
        <v>600000</v>
      </c>
      <c r="BW59" s="3">
        <v>5000</v>
      </c>
      <c r="BX59" s="3">
        <v>-103000</v>
      </c>
      <c r="BY59" s="3">
        <v>502000</v>
      </c>
      <c r="BZ59" s="69">
        <f>BF59*1000*0.05</f>
        <v>350000</v>
      </c>
      <c r="CA59" s="3"/>
      <c r="CB59" s="3" t="s">
        <v>265</v>
      </c>
      <c r="CC59" s="3">
        <f>0.1*BF59</f>
        <v>700</v>
      </c>
      <c r="CD59" s="3" t="s">
        <v>266</v>
      </c>
      <c r="CE59" s="3" t="s">
        <v>267</v>
      </c>
      <c r="CF59" s="3"/>
      <c r="CG59" s="3" t="s">
        <v>268</v>
      </c>
      <c r="CH59" s="3"/>
      <c r="CI59" s="3"/>
      <c r="CJ59" s="3"/>
      <c r="CK59" s="3" t="s">
        <v>269</v>
      </c>
      <c r="CL59" s="3" t="s">
        <v>269</v>
      </c>
      <c r="CM59" s="3" t="s">
        <v>269</v>
      </c>
      <c r="CN59" s="3" t="s">
        <v>270</v>
      </c>
      <c r="CO59" s="3" t="s">
        <v>270</v>
      </c>
      <c r="CP59" s="3" t="s">
        <v>270</v>
      </c>
    </row>
    <row r="60" spans="1:94" ht="90" x14ac:dyDescent="0.25">
      <c r="A60" s="2" t="s">
        <v>271</v>
      </c>
      <c r="B60" s="3" t="s">
        <v>229</v>
      </c>
      <c r="C60" s="3" t="s">
        <v>261</v>
      </c>
      <c r="D60" s="3">
        <v>2025</v>
      </c>
      <c r="E60" s="3">
        <v>1.2</v>
      </c>
      <c r="F60" s="3">
        <v>1.08</v>
      </c>
      <c r="G60" s="3"/>
      <c r="H60" s="3"/>
      <c r="I60" s="3"/>
      <c r="J60" s="3">
        <v>20</v>
      </c>
      <c r="K60" s="3">
        <v>20</v>
      </c>
      <c r="L60" s="3" t="s">
        <v>262</v>
      </c>
      <c r="M60" s="3" t="s">
        <v>262</v>
      </c>
      <c r="N60" s="3">
        <v>26</v>
      </c>
      <c r="O60" s="4">
        <v>0.25</v>
      </c>
      <c r="P60" s="4">
        <v>0.1</v>
      </c>
      <c r="Q60" s="3"/>
      <c r="R60" s="3"/>
      <c r="S60" s="3"/>
      <c r="T60" s="3"/>
      <c r="U60" s="3"/>
      <c r="V60" s="3"/>
      <c r="W60" s="3"/>
      <c r="X60" s="3"/>
      <c r="Y60" s="3"/>
      <c r="Z60" s="3" t="s">
        <v>263</v>
      </c>
      <c r="AA60" s="3">
        <v>7</v>
      </c>
      <c r="AB60" s="3"/>
      <c r="AC60" s="3" t="s">
        <v>264</v>
      </c>
      <c r="AD60" s="3" t="s">
        <v>264</v>
      </c>
      <c r="AE60" s="3"/>
      <c r="AF60" s="3"/>
      <c r="AG60" s="3"/>
      <c r="AH60" s="3"/>
      <c r="AI60" s="3"/>
      <c r="AJ60" s="3"/>
      <c r="AK60" s="32">
        <v>75</v>
      </c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>
        <v>0.2</v>
      </c>
      <c r="BD60" s="3">
        <v>6</v>
      </c>
      <c r="BE60" s="2"/>
      <c r="BF60" s="5">
        <v>6000</v>
      </c>
      <c r="BG60" s="2"/>
      <c r="BH60" s="69">
        <f>BF60*E60*1000</f>
        <v>7200000</v>
      </c>
      <c r="BI60" s="69">
        <f>BH60+BM60</f>
        <v>7560000</v>
      </c>
      <c r="BJ60" s="69">
        <f>0.45*BH60</f>
        <v>3240000</v>
      </c>
      <c r="BK60" s="5"/>
      <c r="BL60" s="5"/>
      <c r="BM60" s="69">
        <v>360000</v>
      </c>
      <c r="BN60" s="2">
        <f>BH60-BJ60</f>
        <v>3960000</v>
      </c>
      <c r="BO60" s="3"/>
      <c r="BP60" s="3"/>
      <c r="BQ60" s="66"/>
      <c r="BR60" s="2"/>
      <c r="BS60" s="2"/>
      <c r="BT60" s="2"/>
      <c r="BU60" s="2"/>
      <c r="BV60" s="74">
        <v>600000</v>
      </c>
      <c r="BW60" s="3">
        <v>5000</v>
      </c>
      <c r="BX60" s="3">
        <v>-103000</v>
      </c>
      <c r="BY60" s="3">
        <v>502000</v>
      </c>
      <c r="BZ60" s="69">
        <f>BF60*1000*0.05</f>
        <v>300000</v>
      </c>
      <c r="CA60" s="3"/>
      <c r="CB60" s="3" t="s">
        <v>265</v>
      </c>
      <c r="CC60" s="3">
        <f>0.1*BF60</f>
        <v>600</v>
      </c>
      <c r="CD60" s="3" t="s">
        <v>266</v>
      </c>
      <c r="CE60" s="3" t="s">
        <v>267</v>
      </c>
      <c r="CF60" s="3"/>
      <c r="CG60" s="3" t="s">
        <v>268</v>
      </c>
      <c r="CH60" s="3"/>
      <c r="CI60" s="3"/>
      <c r="CJ60" s="3"/>
      <c r="CK60" s="3" t="s">
        <v>269</v>
      </c>
      <c r="CL60" s="3" t="s">
        <v>269</v>
      </c>
      <c r="CM60" s="3" t="s">
        <v>269</v>
      </c>
      <c r="CN60" s="3" t="s">
        <v>270</v>
      </c>
      <c r="CO60" s="3" t="s">
        <v>270</v>
      </c>
      <c r="CP60" s="3" t="s">
        <v>270</v>
      </c>
    </row>
    <row r="61" spans="1:94" ht="45" x14ac:dyDescent="0.25">
      <c r="A61" s="2" t="s">
        <v>272</v>
      </c>
      <c r="B61" s="3" t="s">
        <v>197</v>
      </c>
      <c r="C61" s="3" t="s">
        <v>261</v>
      </c>
      <c r="D61" s="3">
        <v>2025</v>
      </c>
      <c r="E61" s="3">
        <v>500</v>
      </c>
      <c r="F61" s="3"/>
      <c r="G61" s="3"/>
      <c r="H61" s="3"/>
      <c r="I61" s="3"/>
      <c r="J61" s="3">
        <v>20</v>
      </c>
      <c r="K61" s="3">
        <v>20</v>
      </c>
      <c r="L61" s="3">
        <v>5</v>
      </c>
      <c r="M61" s="3">
        <v>4</v>
      </c>
      <c r="N61" s="3">
        <v>52</v>
      </c>
      <c r="O61" s="4">
        <v>0.1</v>
      </c>
      <c r="P61" s="4"/>
      <c r="Q61" s="3"/>
      <c r="R61" s="3"/>
      <c r="S61" s="3"/>
      <c r="T61" s="3"/>
      <c r="U61" s="3"/>
      <c r="V61" s="3"/>
      <c r="W61" s="3"/>
      <c r="X61" s="3"/>
      <c r="Y61" s="4"/>
      <c r="Z61" s="3"/>
      <c r="AA61" s="3">
        <v>15</v>
      </c>
      <c r="AB61" s="3"/>
      <c r="AC61" s="3" t="s">
        <v>273</v>
      </c>
      <c r="AD61" s="3" t="s">
        <v>273</v>
      </c>
      <c r="AE61" s="3"/>
      <c r="AF61" s="3"/>
      <c r="AG61" s="3"/>
      <c r="AH61" s="4"/>
      <c r="AI61" s="4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5">
        <v>2600</v>
      </c>
      <c r="BF61" s="97"/>
      <c r="BG61" s="3"/>
      <c r="BH61" s="5">
        <f>1300000000</f>
        <v>1300000000</v>
      </c>
      <c r="BI61" s="98">
        <f>BH61*1.05</f>
        <v>1365000000</v>
      </c>
      <c r="BJ61" s="69">
        <f>520000000</f>
        <v>520000000</v>
      </c>
      <c r="BK61" s="3"/>
      <c r="BL61" s="3"/>
      <c r="BM61" s="69">
        <f>BH61*0.05</f>
        <v>65000000</v>
      </c>
      <c r="BN61" s="69">
        <v>780000000</v>
      </c>
      <c r="BO61" s="3"/>
      <c r="BP61" s="3"/>
      <c r="BQ61" s="3"/>
      <c r="BR61" s="99">
        <v>263000</v>
      </c>
      <c r="BS61" s="99">
        <v>5000</v>
      </c>
      <c r="BT61" s="99">
        <v>-157500</v>
      </c>
      <c r="BU61" s="99">
        <v>110500</v>
      </c>
      <c r="BV61" s="3"/>
      <c r="BW61" s="3"/>
      <c r="BX61" s="3"/>
      <c r="BY61" s="3"/>
      <c r="BZ61" s="69">
        <v>65000</v>
      </c>
      <c r="CA61" s="3"/>
      <c r="CB61" s="3" t="s">
        <v>265</v>
      </c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1:94" s="15" customFormat="1" ht="48.75" customHeight="1" x14ac:dyDescent="0.25">
      <c r="A62" s="2" t="s">
        <v>274</v>
      </c>
      <c r="B62" s="3" t="s">
        <v>197</v>
      </c>
      <c r="C62" s="3" t="s">
        <v>261</v>
      </c>
      <c r="D62" s="3">
        <v>2025</v>
      </c>
      <c r="E62" s="3">
        <v>500</v>
      </c>
      <c r="F62" s="3"/>
      <c r="G62" s="3"/>
      <c r="H62" s="3"/>
      <c r="I62" s="3"/>
      <c r="J62" s="3">
        <v>20</v>
      </c>
      <c r="K62" s="3">
        <v>20</v>
      </c>
      <c r="L62" s="3">
        <v>5</v>
      </c>
      <c r="M62" s="3">
        <v>4</v>
      </c>
      <c r="N62" s="3">
        <v>52</v>
      </c>
      <c r="O62" s="4">
        <v>0.1</v>
      </c>
      <c r="P62" s="4"/>
      <c r="Q62" s="3"/>
      <c r="R62" s="3"/>
      <c r="S62" s="3"/>
      <c r="T62" s="3"/>
      <c r="U62" s="3"/>
      <c r="V62" s="3"/>
      <c r="W62" s="3"/>
      <c r="X62" s="3"/>
      <c r="Y62" s="4"/>
      <c r="Z62" s="3"/>
      <c r="AA62" s="3">
        <v>15</v>
      </c>
      <c r="AB62" s="3"/>
      <c r="AC62" s="3" t="s">
        <v>275</v>
      </c>
      <c r="AD62" s="3" t="s">
        <v>275</v>
      </c>
      <c r="AE62" s="3"/>
      <c r="AF62" s="3"/>
      <c r="AG62" s="3"/>
      <c r="AH62" s="4"/>
      <c r="AI62" s="4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5">
        <v>2000</v>
      </c>
      <c r="BF62" s="97"/>
      <c r="BG62" s="3"/>
      <c r="BH62" s="5">
        <f>1000000000</f>
        <v>1000000000</v>
      </c>
      <c r="BI62" s="98">
        <f>BH62*1.05</f>
        <v>1050000000</v>
      </c>
      <c r="BJ62" s="69">
        <v>370000000</v>
      </c>
      <c r="BK62" s="3"/>
      <c r="BL62" s="3"/>
      <c r="BM62" s="69">
        <f>BH62*0.05</f>
        <v>50000000</v>
      </c>
      <c r="BN62" s="69">
        <v>630000000</v>
      </c>
      <c r="BO62" s="3"/>
      <c r="BP62" s="3"/>
      <c r="BQ62" s="3"/>
      <c r="BR62" s="5">
        <v>246000</v>
      </c>
      <c r="BS62" s="5">
        <v>5000</v>
      </c>
      <c r="BT62" s="5">
        <v>-77500</v>
      </c>
      <c r="BU62" s="5">
        <v>173500</v>
      </c>
      <c r="BV62" s="3"/>
      <c r="BW62" s="3"/>
      <c r="BX62" s="3"/>
      <c r="BY62" s="3"/>
      <c r="BZ62" s="69">
        <v>40000</v>
      </c>
      <c r="CA62" s="3"/>
      <c r="CB62" s="3" t="s">
        <v>265</v>
      </c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</sheetData>
  <mergeCells count="1">
    <mergeCell ref="CK1:CP1"/>
  </mergeCells>
  <conditionalFormatting sqref="AL2:AT2 BE2:CB2">
    <cfRule type="duplicateValues" dxfId="6" priority="7"/>
  </conditionalFormatting>
  <conditionalFormatting sqref="BR3:BY4">
    <cfRule type="duplicateValues" dxfId="5" priority="1"/>
  </conditionalFormatting>
  <pageMargins left="0.7" right="0.7" top="0.75" bottom="0.75" header="0.3" footer="0.3"/>
  <pageSetup paperSize="9" orientation="portrait" verticalDpi="300" r:id="rId1"/>
  <ignoredErrors>
    <ignoredError sqref="BP26:BP27" numberStoredAsText="1"/>
    <ignoredError sqref="BI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9CFE-2BF9-4C8A-BE03-4D6F8E830DA4}">
  <sheetPr>
    <tabColor rgb="FF00B050"/>
  </sheetPr>
  <dimension ref="A1:R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3" sqref="C33"/>
    </sheetView>
  </sheetViews>
  <sheetFormatPr defaultColWidth="9.140625" defaultRowHeight="15" x14ac:dyDescent="0.25"/>
  <cols>
    <col min="1" max="1" width="26.5703125" style="12" bestFit="1" customWidth="1"/>
    <col min="2" max="2" width="64.85546875" style="12" customWidth="1"/>
    <col min="3" max="3" width="13.42578125" style="12" bestFit="1" customWidth="1"/>
    <col min="4" max="4" width="18.5703125" style="12" bestFit="1" customWidth="1"/>
    <col min="5" max="6" width="16.140625" style="12" customWidth="1"/>
    <col min="7" max="7" width="19.140625" style="12" customWidth="1"/>
    <col min="8" max="8" width="17.42578125" style="12" bestFit="1" customWidth="1"/>
    <col min="9" max="9" width="16.42578125" style="12" bestFit="1" customWidth="1"/>
    <col min="10" max="10" width="17.42578125" style="12" bestFit="1" customWidth="1"/>
    <col min="11" max="11" width="36.5703125" style="12" bestFit="1" customWidth="1"/>
    <col min="12" max="12" width="16" style="12" bestFit="1" customWidth="1"/>
    <col min="13" max="13" width="13.5703125" style="12" bestFit="1" customWidth="1"/>
    <col min="14" max="14" width="16.42578125" style="12" bestFit="1" customWidth="1"/>
    <col min="15" max="15" width="26.140625" style="12" bestFit="1" customWidth="1"/>
    <col min="16" max="16" width="23.5703125" style="12" bestFit="1" customWidth="1"/>
    <col min="17" max="17" width="19.5703125" style="12" bestFit="1" customWidth="1"/>
    <col min="18" max="18" width="18" style="12" bestFit="1" customWidth="1"/>
    <col min="19" max="16384" width="9.140625" style="12"/>
  </cols>
  <sheetData>
    <row r="1" spans="1:18" x14ac:dyDescent="0.25">
      <c r="A1" s="16" t="s">
        <v>0</v>
      </c>
      <c r="B1" s="16" t="s">
        <v>276</v>
      </c>
      <c r="C1" s="16" t="s">
        <v>277</v>
      </c>
      <c r="D1" s="16" t="s">
        <v>278</v>
      </c>
      <c r="E1" s="16" t="s">
        <v>279</v>
      </c>
      <c r="F1" s="16" t="s">
        <v>280</v>
      </c>
      <c r="G1" s="16" t="s">
        <v>281</v>
      </c>
      <c r="H1" s="16" t="s">
        <v>282</v>
      </c>
      <c r="I1" s="16" t="s">
        <v>283</v>
      </c>
      <c r="J1" s="16" t="s">
        <v>284</v>
      </c>
      <c r="K1" s="16" t="s">
        <v>285</v>
      </c>
      <c r="L1" s="16" t="s">
        <v>286</v>
      </c>
      <c r="M1" s="16" t="s">
        <v>287</v>
      </c>
      <c r="N1" s="16" t="s">
        <v>288</v>
      </c>
      <c r="O1" s="16" t="s">
        <v>289</v>
      </c>
      <c r="P1" s="16" t="s">
        <v>290</v>
      </c>
      <c r="Q1" s="16" t="s">
        <v>291</v>
      </c>
      <c r="R1" s="16" t="s">
        <v>292</v>
      </c>
    </row>
    <row r="2" spans="1:18" x14ac:dyDescent="0.25">
      <c r="A2" s="17"/>
      <c r="B2" s="17"/>
      <c r="C2" s="17" t="s">
        <v>293</v>
      </c>
      <c r="D2" s="17" t="s">
        <v>294</v>
      </c>
      <c r="E2" s="17" t="s">
        <v>295</v>
      </c>
      <c r="F2" s="17" t="s">
        <v>296</v>
      </c>
      <c r="G2" s="17" t="s">
        <v>145</v>
      </c>
      <c r="H2" s="17" t="s">
        <v>131</v>
      </c>
      <c r="I2" s="17" t="s">
        <v>131</v>
      </c>
      <c r="J2" s="17" t="s">
        <v>297</v>
      </c>
      <c r="K2" s="17" t="s">
        <v>298</v>
      </c>
      <c r="L2" s="17"/>
      <c r="M2" s="17" t="s">
        <v>299</v>
      </c>
      <c r="N2" s="17" t="s">
        <v>300</v>
      </c>
      <c r="O2" s="17" t="s">
        <v>301</v>
      </c>
      <c r="P2" s="17" t="s">
        <v>297</v>
      </c>
      <c r="Q2" s="17" t="s">
        <v>302</v>
      </c>
      <c r="R2" s="17" t="s">
        <v>303</v>
      </c>
    </row>
    <row r="3" spans="1:18" x14ac:dyDescent="0.25">
      <c r="A3" s="17" t="s">
        <v>161</v>
      </c>
      <c r="B3" s="17" t="s">
        <v>161</v>
      </c>
      <c r="C3" s="17" t="s">
        <v>163</v>
      </c>
      <c r="D3" s="17" t="s">
        <v>29</v>
      </c>
      <c r="E3" s="17" t="s">
        <v>29</v>
      </c>
      <c r="F3" s="17" t="s">
        <v>29</v>
      </c>
      <c r="G3" s="17" t="s">
        <v>29</v>
      </c>
      <c r="H3" s="17" t="s">
        <v>29</v>
      </c>
      <c r="I3" s="17" t="s">
        <v>29</v>
      </c>
      <c r="J3" s="17" t="s">
        <v>29</v>
      </c>
      <c r="K3" s="17" t="s">
        <v>29</v>
      </c>
      <c r="L3" s="17" t="s">
        <v>161</v>
      </c>
      <c r="M3" s="17" t="s">
        <v>29</v>
      </c>
      <c r="N3" s="17" t="s">
        <v>29</v>
      </c>
      <c r="O3" s="17" t="s">
        <v>29</v>
      </c>
      <c r="P3" s="17" t="s">
        <v>29</v>
      </c>
      <c r="Q3" s="17" t="s">
        <v>29</v>
      </c>
      <c r="R3" s="17" t="s">
        <v>29</v>
      </c>
    </row>
    <row r="4" spans="1:18" x14ac:dyDescent="0.25">
      <c r="A4" s="18" t="s">
        <v>304</v>
      </c>
      <c r="B4" s="18" t="s">
        <v>305</v>
      </c>
      <c r="C4" s="18">
        <v>100</v>
      </c>
      <c r="D4" s="18">
        <v>6.3</v>
      </c>
      <c r="E4" s="18">
        <v>2216</v>
      </c>
      <c r="F4" s="58"/>
      <c r="G4" s="58">
        <f>E4*C4*1389</f>
        <v>307802400</v>
      </c>
      <c r="H4" s="18"/>
      <c r="I4" s="18"/>
      <c r="J4" s="18"/>
      <c r="K4" s="18"/>
      <c r="L4" s="18" t="s">
        <v>306</v>
      </c>
      <c r="M4" s="18">
        <v>10</v>
      </c>
      <c r="N4" s="18"/>
      <c r="O4" s="18"/>
      <c r="P4" s="18"/>
      <c r="Q4" s="18"/>
      <c r="R4" s="18"/>
    </row>
    <row r="5" spans="1:18" x14ac:dyDescent="0.25">
      <c r="A5" s="18"/>
      <c r="B5" s="18" t="s">
        <v>307</v>
      </c>
      <c r="C5" s="18">
        <v>800</v>
      </c>
      <c r="D5" s="18">
        <v>6.3</v>
      </c>
      <c r="E5" s="18">
        <v>1106</v>
      </c>
      <c r="F5" s="58"/>
      <c r="G5" s="58">
        <f>E5*C5*1389</f>
        <v>1228987200</v>
      </c>
      <c r="H5" s="18"/>
      <c r="I5" s="18"/>
      <c r="J5" s="18"/>
      <c r="K5" s="18"/>
      <c r="L5" s="18" t="s">
        <v>306</v>
      </c>
      <c r="M5" s="18">
        <v>10</v>
      </c>
      <c r="N5" s="18"/>
      <c r="O5" s="18"/>
      <c r="P5" s="18"/>
      <c r="Q5" s="18"/>
      <c r="R5" s="18"/>
    </row>
    <row r="6" spans="1:18" x14ac:dyDescent="0.25">
      <c r="A6" s="18" t="s">
        <v>308</v>
      </c>
      <c r="B6" s="18" t="s">
        <v>309</v>
      </c>
      <c r="C6" s="18">
        <v>100</v>
      </c>
      <c r="D6" s="18">
        <v>6.3</v>
      </c>
      <c r="E6" s="18">
        <v>2882</v>
      </c>
      <c r="F6" s="58"/>
      <c r="G6" s="58">
        <f>E6*C6*1389</f>
        <v>400309800</v>
      </c>
      <c r="H6" s="18"/>
      <c r="I6" s="18"/>
      <c r="J6" s="18"/>
      <c r="K6" s="18"/>
      <c r="L6" s="18" t="s">
        <v>306</v>
      </c>
      <c r="M6" s="18">
        <v>4.8</v>
      </c>
      <c r="N6" s="18"/>
      <c r="O6" s="18"/>
      <c r="P6" s="18"/>
      <c r="Q6" s="18"/>
      <c r="R6" s="18"/>
    </row>
    <row r="7" spans="1:18" x14ac:dyDescent="0.25">
      <c r="A7" s="18"/>
      <c r="B7" s="18" t="s">
        <v>310</v>
      </c>
      <c r="C7" s="18">
        <v>800</v>
      </c>
      <c r="D7" s="18">
        <v>6.3</v>
      </c>
      <c r="E7" s="18">
        <v>1372</v>
      </c>
      <c r="F7" s="58"/>
      <c r="G7" s="58">
        <f>E7*C7*1389</f>
        <v>1524566400</v>
      </c>
      <c r="H7" s="18"/>
      <c r="I7" s="18"/>
      <c r="J7" s="18"/>
      <c r="K7" s="18"/>
      <c r="L7" s="18" t="s">
        <v>306</v>
      </c>
      <c r="M7" s="18">
        <v>0.9</v>
      </c>
      <c r="N7" s="18"/>
      <c r="O7" s="18"/>
      <c r="P7" s="18"/>
      <c r="Q7" s="18"/>
      <c r="R7" s="18"/>
    </row>
    <row r="8" spans="1:18" x14ac:dyDescent="0.25">
      <c r="A8" s="53" t="s">
        <v>311</v>
      </c>
      <c r="B8" s="53" t="s">
        <v>312</v>
      </c>
      <c r="C8" s="53">
        <v>27</v>
      </c>
      <c r="D8" s="53"/>
      <c r="E8" s="53"/>
      <c r="F8" s="59">
        <f>G8/(C8*1000*365*0.9)</f>
        <v>21.230058064152434</v>
      </c>
      <c r="G8" s="59">
        <f>(135+53.3)*1000000</f>
        <v>188300000</v>
      </c>
      <c r="H8" s="53"/>
      <c r="I8" s="53"/>
      <c r="J8" s="53" t="s">
        <v>313</v>
      </c>
      <c r="K8" s="54">
        <f>22*100000/(355*1000)</f>
        <v>6.197183098591549</v>
      </c>
      <c r="L8" s="53" t="s">
        <v>314</v>
      </c>
      <c r="M8" s="53" t="s">
        <v>315</v>
      </c>
      <c r="N8" s="53"/>
      <c r="O8" s="53">
        <v>11</v>
      </c>
      <c r="P8" s="53"/>
      <c r="Q8" s="53">
        <v>-253</v>
      </c>
      <c r="R8" s="55">
        <v>1E-3</v>
      </c>
    </row>
    <row r="9" spans="1:18" x14ac:dyDescent="0.25">
      <c r="A9" s="18" t="s">
        <v>316</v>
      </c>
      <c r="B9" s="18" t="s">
        <v>317</v>
      </c>
      <c r="C9" s="18">
        <v>20</v>
      </c>
      <c r="D9" s="18"/>
      <c r="E9" s="18"/>
      <c r="F9" s="58"/>
      <c r="G9" s="58">
        <f>3.7*2+1750*C9*1000</f>
        <v>35000007.399999999</v>
      </c>
      <c r="H9" s="18"/>
      <c r="I9" s="18"/>
      <c r="J9" s="18" t="s">
        <v>313</v>
      </c>
      <c r="K9" s="27">
        <f>G9*0.03/(C9*1000)</f>
        <v>52.500011099999995</v>
      </c>
      <c r="L9" s="18" t="s">
        <v>314</v>
      </c>
      <c r="M9" s="18" t="s">
        <v>315</v>
      </c>
      <c r="N9" s="18"/>
      <c r="O9" s="18">
        <v>5</v>
      </c>
      <c r="P9" s="18"/>
      <c r="Q9" s="18" t="s">
        <v>318</v>
      </c>
      <c r="R9" s="18">
        <v>0</v>
      </c>
    </row>
  </sheetData>
  <conditionalFormatting sqref="B1:R1">
    <cfRule type="duplicateValues" dxfId="4" priority="3"/>
    <cfRule type="duplicateValues" dxfId="3" priority="4"/>
  </conditionalFormatting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148-A823-493A-8254-782BF5C093EF}">
  <sheetPr>
    <tabColor rgb="FF00B050"/>
  </sheetPr>
  <dimension ref="A1:J4"/>
  <sheetViews>
    <sheetView workbookViewId="0">
      <selection activeCell="J4" sqref="J4"/>
    </sheetView>
  </sheetViews>
  <sheetFormatPr defaultRowHeight="15" x14ac:dyDescent="0.25"/>
  <cols>
    <col min="1" max="1" width="16.42578125" bestFit="1" customWidth="1"/>
    <col min="2" max="2" width="57" customWidth="1"/>
    <col min="3" max="3" width="29.85546875" bestFit="1" customWidth="1"/>
    <col min="4" max="4" width="19.42578125" bestFit="1" customWidth="1"/>
    <col min="5" max="5" width="22" bestFit="1" customWidth="1"/>
    <col min="6" max="6" width="18.5703125" bestFit="1" customWidth="1"/>
    <col min="7" max="7" width="22.85546875" bestFit="1" customWidth="1"/>
    <col min="8" max="8" width="11.5703125" bestFit="1" customWidth="1"/>
    <col min="9" max="10" width="9.85546875" customWidth="1"/>
  </cols>
  <sheetData>
    <row r="1" spans="1:10" x14ac:dyDescent="0.25">
      <c r="A1" s="26" t="s">
        <v>0</v>
      </c>
      <c r="B1" s="26" t="s">
        <v>276</v>
      </c>
      <c r="C1" s="26" t="s">
        <v>319</v>
      </c>
      <c r="D1" s="26" t="s">
        <v>80</v>
      </c>
      <c r="E1" s="26" t="s">
        <v>75</v>
      </c>
      <c r="F1" s="26" t="s">
        <v>278</v>
      </c>
      <c r="G1" s="26" t="s">
        <v>320</v>
      </c>
      <c r="H1" s="26" t="s">
        <v>321</v>
      </c>
      <c r="I1" s="26" t="s">
        <v>281</v>
      </c>
      <c r="J1" s="26" t="s">
        <v>322</v>
      </c>
    </row>
    <row r="2" spans="1:10" x14ac:dyDescent="0.25">
      <c r="A2" s="25"/>
      <c r="B2" s="25"/>
      <c r="C2" s="25" t="s">
        <v>141</v>
      </c>
      <c r="D2" s="25" t="s">
        <v>323</v>
      </c>
      <c r="E2" s="25" t="s">
        <v>324</v>
      </c>
      <c r="F2" s="25" t="s">
        <v>140</v>
      </c>
      <c r="G2" s="25" t="s">
        <v>325</v>
      </c>
      <c r="H2" s="25"/>
      <c r="I2" s="25" t="s">
        <v>326</v>
      </c>
      <c r="J2" s="25" t="s">
        <v>327</v>
      </c>
    </row>
    <row r="3" spans="1:10" x14ac:dyDescent="0.25">
      <c r="A3" s="25" t="s">
        <v>161</v>
      </c>
      <c r="B3" s="25" t="s">
        <v>161</v>
      </c>
      <c r="C3" s="25" t="s">
        <v>29</v>
      </c>
      <c r="D3" s="25" t="s">
        <v>29</v>
      </c>
      <c r="E3" s="25" t="s">
        <v>29</v>
      </c>
      <c r="F3" s="25" t="s">
        <v>29</v>
      </c>
      <c r="G3" s="25" t="s">
        <v>29</v>
      </c>
      <c r="H3" s="25" t="s">
        <v>163</v>
      </c>
      <c r="I3" s="25" t="s">
        <v>29</v>
      </c>
      <c r="J3" s="25" t="s">
        <v>29</v>
      </c>
    </row>
    <row r="4" spans="1:10" ht="75" x14ac:dyDescent="0.25">
      <c r="A4" s="39" t="s">
        <v>328</v>
      </c>
      <c r="B4" s="40" t="s">
        <v>329</v>
      </c>
      <c r="C4" s="2">
        <v>2800</v>
      </c>
      <c r="D4" s="3" t="s">
        <v>330</v>
      </c>
      <c r="E4" s="2">
        <v>178</v>
      </c>
      <c r="F4" s="3" t="s">
        <v>331</v>
      </c>
      <c r="G4" s="41">
        <v>1000000</v>
      </c>
      <c r="H4" s="40" t="s">
        <v>332</v>
      </c>
      <c r="I4" s="2">
        <v>530</v>
      </c>
      <c r="J4" s="38" t="s">
        <v>333</v>
      </c>
    </row>
  </sheetData>
  <pageMargins left="0.7" right="0.7" top="0.75" bottom="0.75" header="0.3" footer="0.3"/>
  <pageSetup paperSize="9" orientation="portrait" verticalDpi="300" r:id="rId1"/>
  <ignoredErrors>
    <ignoredError sqref="J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618C-C619-4730-8B00-436C5615CDAD}">
  <sheetPr>
    <tabColor rgb="FF00B050"/>
  </sheetPr>
  <dimension ref="A1:S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21" sqref="S21"/>
    </sheetView>
  </sheetViews>
  <sheetFormatPr defaultColWidth="9.140625" defaultRowHeight="15" x14ac:dyDescent="0.25"/>
  <cols>
    <col min="1" max="1" width="28.85546875" style="12" bestFit="1" customWidth="1"/>
    <col min="2" max="2" width="94.42578125" style="12" bestFit="1" customWidth="1"/>
    <col min="3" max="3" width="13.5703125" style="12" bestFit="1" customWidth="1"/>
    <col min="4" max="4" width="13.42578125" style="12" bestFit="1" customWidth="1"/>
    <col min="5" max="5" width="29" style="12" bestFit="1" customWidth="1"/>
    <col min="6" max="6" width="23.140625" style="12" bestFit="1" customWidth="1"/>
    <col min="7" max="7" width="44.5703125" style="12" bestFit="1" customWidth="1"/>
    <col min="8" max="8" width="28.5703125" style="12" bestFit="1" customWidth="1"/>
    <col min="9" max="9" width="13.85546875" style="12" bestFit="1" customWidth="1"/>
    <col min="10" max="10" width="39.42578125" style="12" bestFit="1" customWidth="1"/>
    <col min="11" max="11" width="41.42578125" style="12" bestFit="1" customWidth="1"/>
    <col min="12" max="12" width="20.5703125" style="12" bestFit="1" customWidth="1"/>
    <col min="13" max="13" width="16.42578125" style="12" bestFit="1" customWidth="1"/>
    <col min="14" max="14" width="17.42578125" style="12" bestFit="1" customWidth="1"/>
    <col min="15" max="15" width="16.42578125" style="12" bestFit="1" customWidth="1"/>
    <col min="16" max="16" width="19.42578125" style="12" bestFit="1" customWidth="1"/>
    <col min="17" max="18" width="17.42578125" style="12" bestFit="1" customWidth="1"/>
    <col min="19" max="19" width="36.5703125" style="12" bestFit="1" customWidth="1"/>
    <col min="20" max="16384" width="9.140625" style="12"/>
  </cols>
  <sheetData>
    <row r="1" spans="1:19" x14ac:dyDescent="0.25">
      <c r="A1" s="16" t="s">
        <v>0</v>
      </c>
      <c r="B1" s="16" t="s">
        <v>276</v>
      </c>
      <c r="C1" s="16" t="s">
        <v>334</v>
      </c>
      <c r="D1" s="16" t="s">
        <v>277</v>
      </c>
      <c r="E1" s="16" t="s">
        <v>335</v>
      </c>
      <c r="F1" s="16" t="s">
        <v>336</v>
      </c>
      <c r="G1" s="16" t="s">
        <v>337</v>
      </c>
      <c r="H1" s="16" t="s">
        <v>338</v>
      </c>
      <c r="I1" s="16" t="s">
        <v>339</v>
      </c>
      <c r="J1" s="16" t="s">
        <v>340</v>
      </c>
      <c r="K1" s="16" t="s">
        <v>341</v>
      </c>
      <c r="L1" s="16" t="s">
        <v>342</v>
      </c>
      <c r="M1" s="16" t="s">
        <v>281</v>
      </c>
      <c r="N1" s="16" t="s">
        <v>282</v>
      </c>
      <c r="O1" s="16" t="s">
        <v>283</v>
      </c>
      <c r="P1" s="16" t="s">
        <v>343</v>
      </c>
      <c r="Q1" s="16" t="s">
        <v>344</v>
      </c>
      <c r="R1" s="16" t="s">
        <v>284</v>
      </c>
      <c r="S1" s="16" t="s">
        <v>285</v>
      </c>
    </row>
    <row r="2" spans="1:19" x14ac:dyDescent="0.25">
      <c r="A2" s="17"/>
      <c r="B2" s="17"/>
      <c r="C2" s="17"/>
      <c r="D2" s="17" t="s">
        <v>345</v>
      </c>
      <c r="E2" s="17" t="s">
        <v>345</v>
      </c>
      <c r="F2" s="17" t="s">
        <v>345</v>
      </c>
      <c r="G2" s="17" t="s">
        <v>345</v>
      </c>
      <c r="H2" s="17" t="s">
        <v>345</v>
      </c>
      <c r="I2" s="17" t="s">
        <v>131</v>
      </c>
      <c r="J2" s="17" t="s">
        <v>346</v>
      </c>
      <c r="K2" s="17" t="s">
        <v>346</v>
      </c>
      <c r="L2" s="17" t="s">
        <v>347</v>
      </c>
      <c r="M2" s="17" t="s">
        <v>145</v>
      </c>
      <c r="N2" s="17" t="s">
        <v>131</v>
      </c>
      <c r="O2" s="17" t="s">
        <v>131</v>
      </c>
      <c r="P2" s="17" t="s">
        <v>297</v>
      </c>
      <c r="Q2" s="17" t="s">
        <v>297</v>
      </c>
      <c r="R2" s="17" t="s">
        <v>297</v>
      </c>
      <c r="S2" s="17" t="s">
        <v>297</v>
      </c>
    </row>
    <row r="3" spans="1:19" x14ac:dyDescent="0.25">
      <c r="A3" s="17" t="s">
        <v>161</v>
      </c>
      <c r="B3" s="17" t="s">
        <v>161</v>
      </c>
      <c r="C3" s="17" t="s">
        <v>161</v>
      </c>
      <c r="D3" s="17" t="s">
        <v>163</v>
      </c>
      <c r="E3" s="17" t="s">
        <v>163</v>
      </c>
      <c r="F3" s="17" t="s">
        <v>163</v>
      </c>
      <c r="G3" s="17" t="s">
        <v>163</v>
      </c>
      <c r="H3" s="17" t="s">
        <v>163</v>
      </c>
      <c r="I3" s="17" t="s">
        <v>29</v>
      </c>
      <c r="J3" s="17" t="s">
        <v>163</v>
      </c>
      <c r="K3" s="17" t="s">
        <v>163</v>
      </c>
      <c r="L3" s="17" t="s">
        <v>29</v>
      </c>
      <c r="M3" s="17" t="s">
        <v>29</v>
      </c>
      <c r="N3" s="17" t="s">
        <v>29</v>
      </c>
      <c r="O3" s="17" t="s">
        <v>29</v>
      </c>
      <c r="P3" s="17" t="s">
        <v>29</v>
      </c>
      <c r="Q3" s="17" t="s">
        <v>29</v>
      </c>
      <c r="R3" s="17" t="s">
        <v>29</v>
      </c>
      <c r="S3" s="17" t="s">
        <v>29</v>
      </c>
    </row>
    <row r="4" spans="1:19" x14ac:dyDescent="0.25">
      <c r="A4" s="18" t="s">
        <v>348</v>
      </c>
      <c r="B4" s="18" t="s">
        <v>349</v>
      </c>
      <c r="C4" s="18" t="s">
        <v>350</v>
      </c>
      <c r="D4" s="18"/>
      <c r="E4" s="18">
        <v>40</v>
      </c>
      <c r="F4" s="18"/>
      <c r="G4" s="18"/>
      <c r="H4" s="27">
        <v>6.5</v>
      </c>
      <c r="I4" s="28">
        <v>86</v>
      </c>
      <c r="J4" s="18">
        <v>2.6</v>
      </c>
      <c r="K4" s="18"/>
      <c r="L4" s="52" t="s">
        <v>351</v>
      </c>
      <c r="M4" s="51" t="s">
        <v>352</v>
      </c>
      <c r="N4" s="18"/>
      <c r="O4" s="51" t="s">
        <v>353</v>
      </c>
      <c r="P4" s="51" t="s">
        <v>354</v>
      </c>
      <c r="Q4" s="51" t="s">
        <v>355</v>
      </c>
      <c r="R4" s="51" t="s">
        <v>356</v>
      </c>
      <c r="S4" s="51" t="s">
        <v>357</v>
      </c>
    </row>
    <row r="5" spans="1:19" x14ac:dyDescent="0.25">
      <c r="A5" s="18" t="s">
        <v>358</v>
      </c>
      <c r="B5" s="18" t="s">
        <v>359</v>
      </c>
      <c r="C5" s="18" t="s">
        <v>360</v>
      </c>
      <c r="D5" s="49">
        <v>273972.60273972602</v>
      </c>
      <c r="E5" s="48"/>
      <c r="F5" s="49">
        <v>109589.04109589041</v>
      </c>
      <c r="G5" s="48">
        <v>0</v>
      </c>
      <c r="H5" s="50">
        <v>164383.56164383562</v>
      </c>
      <c r="I5" s="50">
        <v>40</v>
      </c>
      <c r="J5" s="48">
        <v>3.75</v>
      </c>
      <c r="K5" s="50">
        <v>10.5</v>
      </c>
      <c r="L5" s="61">
        <v>22250</v>
      </c>
      <c r="M5" s="61">
        <v>2225000000</v>
      </c>
      <c r="N5" s="61">
        <v>20</v>
      </c>
      <c r="O5" s="61">
        <v>80</v>
      </c>
      <c r="P5" s="61">
        <v>8900000</v>
      </c>
      <c r="Q5" s="61">
        <v>8900000</v>
      </c>
      <c r="R5" s="61">
        <v>22200000</v>
      </c>
      <c r="S5" s="61">
        <v>13000000</v>
      </c>
    </row>
    <row r="7" spans="1:19" x14ac:dyDescent="0.25">
      <c r="D7" s="13"/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E31B-F60A-4AC9-A347-229F941D1379}">
  <sheetPr>
    <tabColor rgb="FF00B050"/>
  </sheetPr>
  <dimension ref="A1:O4"/>
  <sheetViews>
    <sheetView workbookViewId="0">
      <selection activeCell="N13" sqref="N13"/>
    </sheetView>
  </sheetViews>
  <sheetFormatPr defaultRowHeight="15" x14ac:dyDescent="0.25"/>
  <cols>
    <col min="1" max="1" width="28" bestFit="1" customWidth="1"/>
    <col min="2" max="2" width="76.140625" bestFit="1" customWidth="1"/>
    <col min="3" max="3" width="14.42578125" bestFit="1" customWidth="1"/>
    <col min="4" max="4" width="24.85546875" bestFit="1" customWidth="1"/>
    <col min="5" max="5" width="11.5703125" bestFit="1" customWidth="1"/>
    <col min="6" max="6" width="16.140625" bestFit="1" customWidth="1"/>
    <col min="7" max="7" width="23.5703125" bestFit="1" customWidth="1"/>
    <col min="8" max="8" width="18.42578125" bestFit="1" customWidth="1"/>
    <col min="9" max="9" width="22" bestFit="1" customWidth="1"/>
    <col min="10" max="10" width="19.42578125" bestFit="1" customWidth="1"/>
    <col min="11" max="11" width="18.42578125" bestFit="1" customWidth="1"/>
    <col min="12" max="12" width="20" bestFit="1" customWidth="1"/>
    <col min="13" max="13" width="32.140625" bestFit="1" customWidth="1"/>
    <col min="14" max="14" width="19.85546875" bestFit="1" customWidth="1"/>
    <col min="15" max="15" width="8.42578125" bestFit="1" customWidth="1"/>
  </cols>
  <sheetData>
    <row r="1" spans="1:15" x14ac:dyDescent="0.25">
      <c r="A1" s="26" t="s">
        <v>0</v>
      </c>
      <c r="B1" s="26" t="s">
        <v>276</v>
      </c>
      <c r="C1" s="26" t="s">
        <v>361</v>
      </c>
      <c r="D1" s="26" t="s">
        <v>362</v>
      </c>
      <c r="E1" s="26" t="s">
        <v>363</v>
      </c>
      <c r="F1" s="26" t="s">
        <v>364</v>
      </c>
      <c r="G1" s="26" t="s">
        <v>365</v>
      </c>
      <c r="H1" s="26" t="s">
        <v>366</v>
      </c>
      <c r="I1" s="26" t="s">
        <v>367</v>
      </c>
      <c r="J1" s="26" t="s">
        <v>80</v>
      </c>
      <c r="K1" s="26" t="s">
        <v>368</v>
      </c>
      <c r="L1" s="26" t="s">
        <v>369</v>
      </c>
      <c r="M1" s="26" t="s">
        <v>370</v>
      </c>
      <c r="N1" s="26" t="s">
        <v>371</v>
      </c>
      <c r="O1" s="26" t="s">
        <v>322</v>
      </c>
    </row>
    <row r="2" spans="1:15" x14ac:dyDescent="0.25">
      <c r="A2" s="17"/>
      <c r="B2" s="17"/>
      <c r="C2" s="17" t="s">
        <v>372</v>
      </c>
      <c r="D2" s="17" t="s">
        <v>373</v>
      </c>
      <c r="E2" s="17" t="s">
        <v>374</v>
      </c>
      <c r="F2" s="17" t="s">
        <v>372</v>
      </c>
      <c r="G2" s="17" t="s">
        <v>375</v>
      </c>
      <c r="H2" s="17" t="s">
        <v>376</v>
      </c>
      <c r="I2" s="17" t="s">
        <v>377</v>
      </c>
      <c r="J2" s="17" t="s">
        <v>378</v>
      </c>
      <c r="K2" s="17" t="s">
        <v>326</v>
      </c>
      <c r="L2" s="17" t="s">
        <v>326</v>
      </c>
      <c r="M2" s="17" t="s">
        <v>326</v>
      </c>
      <c r="N2" s="17" t="s">
        <v>326</v>
      </c>
      <c r="O2" s="17" t="s">
        <v>327</v>
      </c>
    </row>
    <row r="3" spans="1:15" x14ac:dyDescent="0.25">
      <c r="A3" s="17" t="s">
        <v>161</v>
      </c>
      <c r="B3" s="17" t="s">
        <v>161</v>
      </c>
      <c r="C3" s="17" t="s">
        <v>163</v>
      </c>
      <c r="D3" s="17" t="s">
        <v>163</v>
      </c>
      <c r="E3" s="17" t="s">
        <v>163</v>
      </c>
      <c r="F3" s="17" t="s">
        <v>163</v>
      </c>
      <c r="G3" s="17" t="s">
        <v>163</v>
      </c>
      <c r="H3" s="17" t="s">
        <v>163</v>
      </c>
      <c r="I3" s="17" t="s">
        <v>29</v>
      </c>
      <c r="J3" s="17" t="s">
        <v>29</v>
      </c>
      <c r="K3" s="17" t="s">
        <v>29</v>
      </c>
      <c r="L3" s="17" t="s">
        <v>29</v>
      </c>
      <c r="M3" s="17" t="s">
        <v>29</v>
      </c>
      <c r="N3" s="17" t="s">
        <v>29</v>
      </c>
      <c r="O3" s="17" t="s">
        <v>29</v>
      </c>
    </row>
    <row r="4" spans="1:15" x14ac:dyDescent="0.25">
      <c r="A4" s="18" t="s">
        <v>379</v>
      </c>
      <c r="B4" s="18" t="s">
        <v>380</v>
      </c>
      <c r="C4" s="57">
        <v>300000</v>
      </c>
      <c r="D4" s="57">
        <v>2200</v>
      </c>
      <c r="E4" s="57">
        <v>1000</v>
      </c>
      <c r="F4" s="57">
        <v>210000</v>
      </c>
      <c r="G4" s="57">
        <v>10</v>
      </c>
      <c r="H4" s="57">
        <v>100</v>
      </c>
      <c r="I4" s="57">
        <v>35</v>
      </c>
      <c r="J4" s="57">
        <v>1.2</v>
      </c>
      <c r="K4" s="57">
        <v>8.5</v>
      </c>
      <c r="L4" s="57">
        <v>46.5</v>
      </c>
      <c r="M4" s="57">
        <v>8</v>
      </c>
      <c r="N4" s="57">
        <v>26</v>
      </c>
      <c r="O4" s="56">
        <v>1.6</v>
      </c>
    </row>
  </sheetData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E5D1-5ECD-4B57-912B-2616858EA101}">
  <dimension ref="A1:BV6"/>
  <sheetViews>
    <sheetView workbookViewId="0">
      <selection activeCell="BV6" sqref="BV6"/>
    </sheetView>
  </sheetViews>
  <sheetFormatPr defaultColWidth="9.140625" defaultRowHeight="12.75" x14ac:dyDescent="0.2"/>
  <cols>
    <col min="1" max="1" width="13.5703125" style="9" customWidth="1"/>
    <col min="2" max="2" width="21.140625" style="9" customWidth="1"/>
    <col min="3" max="3" width="33.42578125" style="9" customWidth="1"/>
    <col min="4" max="4" width="19.5703125" style="9" customWidth="1"/>
    <col min="5" max="5" width="20.5703125" style="9" customWidth="1"/>
    <col min="6" max="6" width="9.140625" style="9" customWidth="1"/>
    <col min="7" max="7" width="12.85546875" style="9" customWidth="1"/>
    <col min="8" max="8" width="15.140625" style="9" customWidth="1"/>
    <col min="9" max="9" width="13.85546875" style="9" customWidth="1"/>
    <col min="10" max="10" width="16.5703125" style="9" customWidth="1"/>
    <col min="11" max="11" width="15.42578125" style="9" customWidth="1"/>
    <col min="12" max="12" width="13.5703125" style="9" customWidth="1"/>
    <col min="13" max="14" width="9.140625" style="9"/>
    <col min="15" max="15" width="14" style="9" customWidth="1"/>
    <col min="16" max="16" width="9.140625" style="9"/>
    <col min="17" max="17" width="21.5703125" style="9" customWidth="1"/>
    <col min="18" max="18" width="11.85546875" style="9" customWidth="1"/>
    <col min="19" max="19" width="19.85546875" style="9" customWidth="1"/>
    <col min="20" max="20" width="19.42578125" style="9" customWidth="1"/>
    <col min="21" max="21" width="16.5703125" style="9" customWidth="1"/>
    <col min="22" max="22" width="17.42578125" style="9" customWidth="1"/>
    <col min="23" max="23" width="14" style="9" customWidth="1"/>
    <col min="24" max="24" width="21.42578125" style="9" customWidth="1"/>
    <col min="25" max="25" width="15.42578125" style="9" customWidth="1"/>
    <col min="26" max="26" width="19.5703125" style="9" customWidth="1"/>
    <col min="27" max="27" width="17.85546875" style="9" customWidth="1"/>
    <col min="28" max="28" width="24.5703125" style="9" customWidth="1"/>
    <col min="29" max="30" width="9.140625" style="9"/>
    <col min="31" max="31" width="17.5703125" style="9" customWidth="1"/>
    <col min="32" max="32" width="23.42578125" style="9" customWidth="1"/>
    <col min="33" max="33" width="18.5703125" style="9" customWidth="1"/>
    <col min="34" max="35" width="9.140625" style="9"/>
    <col min="36" max="36" width="14.5703125" style="9" customWidth="1"/>
    <col min="37" max="37" width="15" style="9" customWidth="1"/>
    <col min="38" max="38" width="18.42578125" style="9" customWidth="1"/>
    <col min="39" max="39" width="12.42578125" style="9" customWidth="1"/>
    <col min="40" max="41" width="9.140625" style="9"/>
    <col min="42" max="42" width="18.5703125" style="9" customWidth="1"/>
    <col min="43" max="43" width="14.5703125" style="9" customWidth="1"/>
    <col min="44" max="44" width="10.42578125" style="9" customWidth="1"/>
    <col min="45" max="46" width="9.140625" style="9"/>
    <col min="47" max="47" width="22.42578125" style="9" customWidth="1"/>
    <col min="48" max="48" width="20.85546875" style="9" customWidth="1"/>
    <col min="49" max="49" width="13.5703125" style="9" customWidth="1"/>
    <col min="50" max="50" width="15.5703125" style="9" customWidth="1"/>
    <col min="51" max="51" width="24.42578125" style="9" customWidth="1"/>
    <col min="52" max="52" width="21.42578125" style="9" customWidth="1"/>
    <col min="53" max="53" width="20.42578125" style="9" customWidth="1"/>
    <col min="54" max="56" width="9.140625" style="9"/>
    <col min="57" max="57" width="14" style="9" customWidth="1"/>
    <col min="58" max="58" width="12.42578125" style="9" customWidth="1"/>
    <col min="59" max="59" width="18.5703125" style="9" customWidth="1"/>
    <col min="60" max="60" width="11.5703125" style="9" bestFit="1" customWidth="1"/>
    <col min="61" max="61" width="14.140625" style="9" customWidth="1"/>
    <col min="62" max="62" width="15.5703125" style="9" customWidth="1"/>
    <col min="63" max="63" width="15.140625" style="9" customWidth="1"/>
    <col min="64" max="64" width="18.85546875" style="9" customWidth="1"/>
    <col min="65" max="65" width="18.5703125" style="9" customWidth="1"/>
    <col min="66" max="66" width="12.42578125" style="9" customWidth="1"/>
    <col min="67" max="67" width="21.85546875" style="9" customWidth="1"/>
    <col min="68" max="68" width="9.140625" style="9"/>
    <col min="69" max="69" width="17" style="9" customWidth="1"/>
    <col min="70" max="71" width="9.140625" style="9"/>
    <col min="72" max="72" width="15.5703125" style="9" customWidth="1"/>
    <col min="73" max="73" width="14.5703125" style="9" customWidth="1"/>
    <col min="74" max="74" width="12.42578125" style="9" customWidth="1"/>
    <col min="75" max="16384" width="9.140625" style="9"/>
  </cols>
  <sheetData>
    <row r="1" spans="1:74" ht="15" x14ac:dyDescent="0.2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9" t="s">
        <v>36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20" t="s">
        <v>37</v>
      </c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</row>
    <row r="2" spans="1:74" ht="71.45" customHeight="1" x14ac:dyDescent="0.2">
      <c r="A2" s="17" t="s">
        <v>0</v>
      </c>
      <c r="B2" s="17" t="s">
        <v>40</v>
      </c>
      <c r="C2" s="17" t="s">
        <v>41</v>
      </c>
      <c r="D2" s="17" t="s">
        <v>42</v>
      </c>
      <c r="E2" s="17" t="s">
        <v>381</v>
      </c>
      <c r="F2" s="17" t="s">
        <v>44</v>
      </c>
      <c r="G2" s="17" t="s">
        <v>45</v>
      </c>
      <c r="H2" s="17" t="s">
        <v>382</v>
      </c>
      <c r="I2" s="17" t="s">
        <v>383</v>
      </c>
      <c r="J2" s="21" t="s">
        <v>48</v>
      </c>
      <c r="K2" s="21" t="s">
        <v>49</v>
      </c>
      <c r="L2" s="21" t="s">
        <v>50</v>
      </c>
      <c r="M2" s="21" t="s">
        <v>51</v>
      </c>
      <c r="N2" s="21" t="s">
        <v>52</v>
      </c>
      <c r="O2" s="21" t="s">
        <v>53</v>
      </c>
      <c r="P2" s="21" t="s">
        <v>54</v>
      </c>
      <c r="Q2" s="21" t="s">
        <v>55</v>
      </c>
      <c r="R2" s="21" t="s">
        <v>56</v>
      </c>
      <c r="S2" s="21" t="s">
        <v>57</v>
      </c>
      <c r="T2" s="21" t="s">
        <v>58</v>
      </c>
      <c r="U2" s="21" t="s">
        <v>59</v>
      </c>
      <c r="V2" s="21" t="s">
        <v>60</v>
      </c>
      <c r="W2" s="21" t="s">
        <v>61</v>
      </c>
      <c r="X2" s="21" t="s">
        <v>62</v>
      </c>
      <c r="Y2" s="21" t="s">
        <v>63</v>
      </c>
      <c r="Z2" s="21" t="s">
        <v>64</v>
      </c>
      <c r="AA2" s="21" t="s">
        <v>65</v>
      </c>
      <c r="AB2" s="21" t="s">
        <v>66</v>
      </c>
      <c r="AC2" s="21" t="s">
        <v>67</v>
      </c>
      <c r="AD2" s="21" t="s">
        <v>68</v>
      </c>
      <c r="AE2" s="21" t="s">
        <v>384</v>
      </c>
      <c r="AF2" s="21" t="s">
        <v>385</v>
      </c>
      <c r="AG2" s="21" t="s">
        <v>71</v>
      </c>
      <c r="AH2" s="21" t="s">
        <v>72</v>
      </c>
      <c r="AI2" s="21" t="s">
        <v>73</v>
      </c>
      <c r="AJ2" s="21" t="s">
        <v>74</v>
      </c>
      <c r="AK2" s="21" t="s">
        <v>75</v>
      </c>
      <c r="AL2" s="21" t="s">
        <v>76</v>
      </c>
      <c r="AM2" s="21" t="s">
        <v>77</v>
      </c>
      <c r="AN2" s="21" t="s">
        <v>78</v>
      </c>
      <c r="AO2" s="21" t="s">
        <v>79</v>
      </c>
      <c r="AP2" s="21" t="s">
        <v>80</v>
      </c>
      <c r="AQ2" s="21" t="s">
        <v>81</v>
      </c>
      <c r="AR2" s="21" t="s">
        <v>82</v>
      </c>
      <c r="AS2" s="21" t="s">
        <v>83</v>
      </c>
      <c r="AT2" s="21" t="s">
        <v>84</v>
      </c>
      <c r="AU2" s="21" t="s">
        <v>85</v>
      </c>
      <c r="AV2" s="21" t="s">
        <v>86</v>
      </c>
      <c r="AW2" s="21" t="s">
        <v>87</v>
      </c>
      <c r="AX2" s="21" t="s">
        <v>88</v>
      </c>
      <c r="AY2" s="21" t="s">
        <v>89</v>
      </c>
      <c r="AZ2" s="21" t="s">
        <v>90</v>
      </c>
      <c r="BA2" s="21" t="s">
        <v>91</v>
      </c>
      <c r="BB2" s="21" t="s">
        <v>92</v>
      </c>
      <c r="BC2" s="21" t="s">
        <v>93</v>
      </c>
      <c r="BD2" s="21" t="s">
        <v>94</v>
      </c>
      <c r="BE2" s="22" t="s">
        <v>95</v>
      </c>
      <c r="BF2" s="22" t="s">
        <v>96</v>
      </c>
      <c r="BG2" s="22" t="s">
        <v>97</v>
      </c>
      <c r="BH2" s="22" t="s">
        <v>98</v>
      </c>
      <c r="BI2" s="22" t="s">
        <v>99</v>
      </c>
      <c r="BJ2" s="22" t="s">
        <v>100</v>
      </c>
      <c r="BK2" s="22" t="s">
        <v>101</v>
      </c>
      <c r="BL2" s="22" t="s">
        <v>102</v>
      </c>
      <c r="BM2" s="22" t="s">
        <v>103</v>
      </c>
      <c r="BN2" s="22" t="s">
        <v>104</v>
      </c>
      <c r="BO2" s="22" t="s">
        <v>386</v>
      </c>
      <c r="BP2" s="22" t="s">
        <v>106</v>
      </c>
      <c r="BQ2" s="22" t="s">
        <v>107</v>
      </c>
      <c r="BR2" s="22" t="s">
        <v>109</v>
      </c>
      <c r="BS2" s="22" t="s">
        <v>387</v>
      </c>
      <c r="BT2" s="22" t="s">
        <v>112</v>
      </c>
      <c r="BU2" s="22" t="s">
        <v>113</v>
      </c>
      <c r="BV2" s="22" t="s">
        <v>114</v>
      </c>
    </row>
    <row r="3" spans="1:74" ht="30" x14ac:dyDescent="0.2">
      <c r="A3" s="17"/>
      <c r="B3" s="17"/>
      <c r="C3" s="17"/>
      <c r="D3" s="17"/>
      <c r="E3" s="23" t="s">
        <v>388</v>
      </c>
      <c r="F3" s="23" t="s">
        <v>128</v>
      </c>
      <c r="G3" s="17" t="s">
        <v>128</v>
      </c>
      <c r="H3" s="17" t="s">
        <v>128</v>
      </c>
      <c r="I3" s="17" t="s">
        <v>128</v>
      </c>
      <c r="J3" s="21" t="s">
        <v>129</v>
      </c>
      <c r="K3" s="21" t="s">
        <v>129</v>
      </c>
      <c r="L3" s="21" t="s">
        <v>129</v>
      </c>
      <c r="M3" s="21" t="s">
        <v>129</v>
      </c>
      <c r="N3" s="21" t="s">
        <v>130</v>
      </c>
      <c r="O3" s="21" t="s">
        <v>131</v>
      </c>
      <c r="P3" s="21" t="s">
        <v>131</v>
      </c>
      <c r="Q3" s="21" t="s">
        <v>131</v>
      </c>
      <c r="R3" s="21" t="s">
        <v>131</v>
      </c>
      <c r="S3" s="21"/>
      <c r="T3" s="21" t="s">
        <v>132</v>
      </c>
      <c r="U3" s="21" t="s">
        <v>131</v>
      </c>
      <c r="V3" s="21"/>
      <c r="W3" s="21" t="s">
        <v>131</v>
      </c>
      <c r="X3" s="21" t="s">
        <v>132</v>
      </c>
      <c r="Y3" s="21" t="s">
        <v>131</v>
      </c>
      <c r="Z3" s="21" t="s">
        <v>133</v>
      </c>
      <c r="AA3" s="21" t="s">
        <v>134</v>
      </c>
      <c r="AB3" s="21" t="s">
        <v>128</v>
      </c>
      <c r="AC3" s="21" t="s">
        <v>389</v>
      </c>
      <c r="AD3" s="21" t="s">
        <v>389</v>
      </c>
      <c r="AE3" s="21" t="s">
        <v>136</v>
      </c>
      <c r="AF3" s="21" t="s">
        <v>136</v>
      </c>
      <c r="AG3" s="21" t="s">
        <v>137</v>
      </c>
      <c r="AH3" s="21" t="s">
        <v>131</v>
      </c>
      <c r="AI3" s="21" t="s">
        <v>131</v>
      </c>
      <c r="AJ3" s="21" t="s">
        <v>138</v>
      </c>
      <c r="AK3" s="21" t="s">
        <v>138</v>
      </c>
      <c r="AL3" s="21"/>
      <c r="AM3" s="21"/>
      <c r="AN3" s="21"/>
      <c r="AO3" s="21"/>
      <c r="AP3" s="21" t="s">
        <v>139</v>
      </c>
      <c r="AQ3" s="21" t="s">
        <v>140</v>
      </c>
      <c r="AR3" s="21" t="s">
        <v>390</v>
      </c>
      <c r="AS3" s="21"/>
      <c r="AT3" s="21" t="s">
        <v>142</v>
      </c>
      <c r="AU3" s="21" t="s">
        <v>128</v>
      </c>
      <c r="AV3" s="21" t="s">
        <v>131</v>
      </c>
      <c r="AW3" s="21" t="s">
        <v>131</v>
      </c>
      <c r="AX3" s="21" t="s">
        <v>131</v>
      </c>
      <c r="AY3" s="21" t="s">
        <v>131</v>
      </c>
      <c r="AZ3" s="21" t="s">
        <v>131</v>
      </c>
      <c r="BA3" s="21"/>
      <c r="BB3" s="21"/>
      <c r="BC3" s="21" t="s">
        <v>128</v>
      </c>
      <c r="BD3" s="21"/>
      <c r="BE3" s="22" t="s">
        <v>143</v>
      </c>
      <c r="BF3" s="22" t="s">
        <v>143</v>
      </c>
      <c r="BG3" s="22" t="s">
        <v>144</v>
      </c>
      <c r="BH3" s="22" t="s">
        <v>145</v>
      </c>
      <c r="BI3" s="22" t="s">
        <v>145</v>
      </c>
      <c r="BJ3" s="22" t="s">
        <v>145</v>
      </c>
      <c r="BK3" s="22" t="s">
        <v>145</v>
      </c>
      <c r="BL3" s="22" t="s">
        <v>146</v>
      </c>
      <c r="BM3" s="22" t="s">
        <v>145</v>
      </c>
      <c r="BN3" s="22" t="s">
        <v>145</v>
      </c>
      <c r="BO3" s="22"/>
      <c r="BP3" s="22" t="s">
        <v>147</v>
      </c>
      <c r="BQ3" s="22" t="s">
        <v>148</v>
      </c>
      <c r="BR3" s="22"/>
      <c r="BS3" s="22"/>
      <c r="BT3" s="22" t="s">
        <v>151</v>
      </c>
      <c r="BU3" s="22" t="s">
        <v>151</v>
      </c>
      <c r="BV3" s="22" t="s">
        <v>152</v>
      </c>
    </row>
    <row r="4" spans="1:74" ht="15" x14ac:dyDescent="0.2">
      <c r="A4" s="17" t="s">
        <v>28</v>
      </c>
      <c r="B4" s="17" t="s">
        <v>161</v>
      </c>
      <c r="C4" s="17" t="s">
        <v>161</v>
      </c>
      <c r="D4" s="17" t="s">
        <v>162</v>
      </c>
      <c r="E4" s="23" t="s">
        <v>29</v>
      </c>
      <c r="F4" s="23" t="s">
        <v>29</v>
      </c>
      <c r="G4" s="17" t="s">
        <v>29</v>
      </c>
      <c r="H4" s="17" t="s">
        <v>29</v>
      </c>
      <c r="I4" s="17" t="s">
        <v>29</v>
      </c>
      <c r="J4" s="21" t="s">
        <v>29</v>
      </c>
      <c r="K4" s="21" t="s">
        <v>29</v>
      </c>
      <c r="L4" s="21" t="s">
        <v>29</v>
      </c>
      <c r="M4" s="21" t="s">
        <v>29</v>
      </c>
      <c r="N4" s="21" t="s">
        <v>29</v>
      </c>
      <c r="O4" s="21" t="s">
        <v>29</v>
      </c>
      <c r="P4" s="21" t="s">
        <v>29</v>
      </c>
      <c r="Q4" s="21" t="s">
        <v>29</v>
      </c>
      <c r="R4" s="21" t="s">
        <v>29</v>
      </c>
      <c r="S4" s="21" t="s">
        <v>163</v>
      </c>
      <c r="T4" s="21" t="s">
        <v>29</v>
      </c>
      <c r="U4" s="21" t="s">
        <v>29</v>
      </c>
      <c r="V4" s="21" t="s">
        <v>163</v>
      </c>
      <c r="W4" s="21" t="s">
        <v>29</v>
      </c>
      <c r="X4" s="21" t="s">
        <v>29</v>
      </c>
      <c r="Y4" s="21" t="s">
        <v>29</v>
      </c>
      <c r="Z4" s="21" t="s">
        <v>29</v>
      </c>
      <c r="AA4" s="21" t="s">
        <v>29</v>
      </c>
      <c r="AB4" s="21" t="s">
        <v>29</v>
      </c>
      <c r="AC4" s="21" t="s">
        <v>29</v>
      </c>
      <c r="AD4" s="21" t="s">
        <v>29</v>
      </c>
      <c r="AE4" s="21" t="s">
        <v>29</v>
      </c>
      <c r="AF4" s="21" t="s">
        <v>29</v>
      </c>
      <c r="AG4" s="21" t="s">
        <v>29</v>
      </c>
      <c r="AH4" s="21" t="s">
        <v>29</v>
      </c>
      <c r="AI4" s="21" t="s">
        <v>29</v>
      </c>
      <c r="AJ4" s="21" t="s">
        <v>29</v>
      </c>
      <c r="AK4" s="21" t="s">
        <v>29</v>
      </c>
      <c r="AL4" s="21" t="s">
        <v>29</v>
      </c>
      <c r="AM4" s="21" t="s">
        <v>29</v>
      </c>
      <c r="AN4" s="21" t="s">
        <v>29</v>
      </c>
      <c r="AO4" s="21" t="s">
        <v>29</v>
      </c>
      <c r="AP4" s="21" t="s">
        <v>29</v>
      </c>
      <c r="AQ4" s="21" t="s">
        <v>29</v>
      </c>
      <c r="AR4" s="21" t="s">
        <v>29</v>
      </c>
      <c r="AS4" s="21" t="s">
        <v>29</v>
      </c>
      <c r="AT4" s="21" t="s">
        <v>29</v>
      </c>
      <c r="AU4" s="21" t="s">
        <v>29</v>
      </c>
      <c r="AV4" s="21" t="s">
        <v>29</v>
      </c>
      <c r="AW4" s="21" t="s">
        <v>29</v>
      </c>
      <c r="AX4" s="21" t="s">
        <v>29</v>
      </c>
      <c r="AY4" s="21" t="s">
        <v>29</v>
      </c>
      <c r="AZ4" s="21" t="s">
        <v>29</v>
      </c>
      <c r="BA4" s="21" t="s">
        <v>163</v>
      </c>
      <c r="BB4" s="21" t="s">
        <v>29</v>
      </c>
      <c r="BC4" s="21" t="s">
        <v>29</v>
      </c>
      <c r="BD4" s="21" t="s">
        <v>163</v>
      </c>
      <c r="BE4" s="22" t="s">
        <v>29</v>
      </c>
      <c r="BF4" s="22" t="s">
        <v>29</v>
      </c>
      <c r="BG4" s="22" t="s">
        <v>29</v>
      </c>
      <c r="BH4" s="22" t="s">
        <v>29</v>
      </c>
      <c r="BI4" s="22" t="s">
        <v>29</v>
      </c>
      <c r="BJ4" s="22" t="s">
        <v>29</v>
      </c>
      <c r="BK4" s="22" t="s">
        <v>29</v>
      </c>
      <c r="BL4" s="22"/>
      <c r="BM4" s="22" t="s">
        <v>29</v>
      </c>
      <c r="BN4" s="22" t="s">
        <v>29</v>
      </c>
      <c r="BO4" s="22" t="s">
        <v>29</v>
      </c>
      <c r="BP4" s="22" t="s">
        <v>29</v>
      </c>
      <c r="BQ4" s="22" t="s">
        <v>29</v>
      </c>
      <c r="BR4" s="22" t="s">
        <v>29</v>
      </c>
      <c r="BS4" s="22" t="s">
        <v>29</v>
      </c>
      <c r="BT4" s="22" t="s">
        <v>29</v>
      </c>
      <c r="BU4" s="22" t="s">
        <v>29</v>
      </c>
      <c r="BV4" s="22" t="s">
        <v>29</v>
      </c>
    </row>
    <row r="5" spans="1:74" ht="45" x14ac:dyDescent="0.2">
      <c r="A5" s="34" t="s">
        <v>391</v>
      </c>
      <c r="B5" s="34" t="s">
        <v>392</v>
      </c>
      <c r="C5" s="34" t="s">
        <v>393</v>
      </c>
      <c r="D5" s="34">
        <v>2025</v>
      </c>
      <c r="E5" s="34">
        <v>900</v>
      </c>
      <c r="F5" s="34">
        <v>2</v>
      </c>
      <c r="G5" s="34"/>
      <c r="H5" s="34">
        <v>2</v>
      </c>
      <c r="I5" s="34">
        <v>2</v>
      </c>
      <c r="J5" s="34">
        <v>30</v>
      </c>
      <c r="K5" s="34">
        <v>25</v>
      </c>
      <c r="L5" s="34">
        <v>2</v>
      </c>
      <c r="M5" s="34">
        <v>1</v>
      </c>
      <c r="N5" s="34">
        <v>52</v>
      </c>
      <c r="O5" s="35">
        <v>0.2</v>
      </c>
      <c r="P5" s="35">
        <v>0.1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>
        <v>15</v>
      </c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6">
        <v>7560000</v>
      </c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62">
        <v>17720</v>
      </c>
      <c r="BF5" s="34"/>
      <c r="BG5" s="34"/>
      <c r="BH5" s="36">
        <f>BE5*F5*1000</f>
        <v>35440000</v>
      </c>
      <c r="BI5" s="36">
        <f>BH5+40000000</f>
        <v>75440000</v>
      </c>
      <c r="BJ5" s="36">
        <v>14177200</v>
      </c>
      <c r="BK5" s="34"/>
      <c r="BL5" s="34"/>
      <c r="BM5" s="36">
        <v>40000000</v>
      </c>
      <c r="BN5" s="36">
        <v>21265800</v>
      </c>
      <c r="BO5" s="34"/>
      <c r="BP5" s="34"/>
      <c r="BQ5" s="34"/>
      <c r="BR5" s="34"/>
      <c r="BS5" s="34"/>
      <c r="BT5" s="36">
        <v>354430</v>
      </c>
      <c r="BU5" s="36"/>
      <c r="BV5" s="36">
        <v>531645</v>
      </c>
    </row>
    <row r="6" spans="1:74" ht="45" x14ac:dyDescent="0.25">
      <c r="A6" s="64" t="s">
        <v>394</v>
      </c>
      <c r="B6" s="64" t="s">
        <v>395</v>
      </c>
      <c r="C6" s="64" t="s">
        <v>396</v>
      </c>
      <c r="D6" s="63">
        <v>2025</v>
      </c>
      <c r="E6" s="63">
        <v>900</v>
      </c>
      <c r="F6" s="63">
        <v>2</v>
      </c>
      <c r="G6" s="63"/>
      <c r="H6" s="63"/>
      <c r="I6" s="63"/>
      <c r="J6" s="63" t="s">
        <v>397</v>
      </c>
      <c r="K6" s="63">
        <v>15</v>
      </c>
      <c r="L6" s="64" t="s">
        <v>398</v>
      </c>
      <c r="M6" s="63">
        <v>0.5</v>
      </c>
      <c r="N6" s="63">
        <v>26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63">
        <v>15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6">
        <v>7313360</v>
      </c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62">
        <v>5100</v>
      </c>
      <c r="BF6" s="63"/>
      <c r="BG6" s="63"/>
      <c r="BH6" s="62">
        <v>10200000</v>
      </c>
      <c r="BI6" s="62">
        <f>BH6+15000000</f>
        <v>25200000</v>
      </c>
      <c r="BJ6" s="62">
        <v>4080000</v>
      </c>
      <c r="BK6" s="37"/>
      <c r="BL6" s="37"/>
      <c r="BM6" s="62">
        <f>15000000</f>
        <v>15000000</v>
      </c>
      <c r="BN6" s="62">
        <v>6120000</v>
      </c>
      <c r="BO6" s="37"/>
      <c r="BP6" s="37"/>
      <c r="BQ6" s="37"/>
      <c r="BR6" s="37"/>
      <c r="BS6" s="37"/>
      <c r="BT6" s="62">
        <v>102000</v>
      </c>
      <c r="BU6" s="62"/>
      <c r="BV6" s="62">
        <v>255000</v>
      </c>
    </row>
  </sheetData>
  <conditionalFormatting sqref="AL2:AT2 BE2:BV2">
    <cfRule type="duplicateValues" dxfId="2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2984-626B-4239-8D28-DFE0295899CD}">
  <dimension ref="A1:BV16"/>
  <sheetViews>
    <sheetView workbookViewId="0">
      <selection activeCell="BT5" sqref="BT5"/>
    </sheetView>
  </sheetViews>
  <sheetFormatPr defaultColWidth="9.140625" defaultRowHeight="12.75" x14ac:dyDescent="0.2"/>
  <cols>
    <col min="1" max="1" width="19.42578125" style="8" customWidth="1"/>
    <col min="2" max="2" width="15.5703125" style="8" customWidth="1"/>
    <col min="3" max="3" width="18.5703125" style="8" customWidth="1"/>
    <col min="4" max="4" width="22.5703125" style="8" customWidth="1"/>
    <col min="5" max="5" width="9.140625" style="8" customWidth="1"/>
    <col min="6" max="6" width="19" style="8" customWidth="1"/>
    <col min="7" max="7" width="18.42578125" style="8" customWidth="1"/>
    <col min="8" max="8" width="18.5703125" style="8" customWidth="1"/>
    <col min="9" max="9" width="22.140625" style="8" customWidth="1"/>
    <col min="10" max="10" width="14.42578125" style="8" customWidth="1"/>
    <col min="11" max="11" width="17.42578125" style="8" customWidth="1"/>
    <col min="12" max="12" width="15.42578125" style="8" customWidth="1"/>
    <col min="13" max="14" width="9.140625" style="8"/>
    <col min="15" max="15" width="14.5703125" style="8" customWidth="1"/>
    <col min="16" max="16" width="9.140625" style="8"/>
    <col min="17" max="17" width="20.42578125" style="8" customWidth="1"/>
    <col min="18" max="18" width="9.140625" style="8"/>
    <col min="19" max="19" width="23.42578125" style="8" customWidth="1"/>
    <col min="20" max="20" width="16.85546875" style="8" customWidth="1"/>
    <col min="21" max="21" width="15.5703125" style="8" customWidth="1"/>
    <col min="22" max="22" width="18.5703125" style="8" customWidth="1"/>
    <col min="23" max="24" width="16.5703125" style="8" customWidth="1"/>
    <col min="25" max="25" width="23.42578125" style="8" customWidth="1"/>
    <col min="26" max="26" width="21" style="8" customWidth="1"/>
    <col min="27" max="27" width="20.42578125" style="8" customWidth="1"/>
    <col min="28" max="28" width="20.85546875" style="8" customWidth="1"/>
    <col min="29" max="29" width="18.5703125" style="8" customWidth="1"/>
    <col min="30" max="30" width="20" style="8" customWidth="1"/>
    <col min="31" max="31" width="17.42578125" style="8" customWidth="1"/>
    <col min="32" max="32" width="16.140625" style="8" customWidth="1"/>
    <col min="33" max="33" width="19.140625" style="8" customWidth="1"/>
    <col min="34" max="35" width="9.140625" style="8"/>
    <col min="36" max="36" width="15.5703125" style="8" customWidth="1"/>
    <col min="37" max="37" width="13.42578125" style="8" customWidth="1"/>
    <col min="38" max="38" width="12.42578125" style="8" customWidth="1"/>
    <col min="39" max="39" width="17.42578125" style="8" customWidth="1"/>
    <col min="40" max="40" width="13.42578125" style="8" customWidth="1"/>
    <col min="41" max="41" width="11.42578125" style="8" customWidth="1"/>
    <col min="42" max="42" width="14" style="8" customWidth="1"/>
    <col min="43" max="43" width="14.140625" style="8" customWidth="1"/>
    <col min="44" max="44" width="15" style="8" customWidth="1"/>
    <col min="45" max="45" width="20.42578125" style="8" customWidth="1"/>
    <col min="46" max="46" width="16.5703125" style="8" customWidth="1"/>
    <col min="47" max="47" width="21.42578125" style="8" customWidth="1"/>
    <col min="48" max="48" width="19.42578125" style="8" customWidth="1"/>
    <col min="49" max="49" width="15.42578125" style="8" customWidth="1"/>
    <col min="50" max="50" width="14" style="8" customWidth="1"/>
    <col min="51" max="51" width="16.42578125" style="8" customWidth="1"/>
    <col min="52" max="52" width="18.5703125" style="8" customWidth="1"/>
    <col min="53" max="53" width="16.85546875" style="8" customWidth="1"/>
    <col min="54" max="54" width="18.5703125" style="8" customWidth="1"/>
    <col min="55" max="55" width="14.42578125" style="8" customWidth="1"/>
    <col min="56" max="59" width="9.140625" style="8"/>
    <col min="60" max="62" width="11.5703125" style="8" bestFit="1" customWidth="1"/>
    <col min="63" max="63" width="12.140625" style="8" customWidth="1"/>
    <col min="64" max="64" width="15.42578125" style="8" customWidth="1"/>
    <col min="65" max="65" width="18.42578125" style="8" customWidth="1"/>
    <col min="66" max="66" width="13.42578125" style="8" customWidth="1"/>
    <col min="67" max="67" width="16.42578125" style="8" customWidth="1"/>
    <col min="68" max="68" width="9.140625" style="8"/>
    <col min="69" max="69" width="16.5703125" style="8" customWidth="1"/>
    <col min="70" max="71" width="9.140625" style="8"/>
    <col min="72" max="72" width="9.28515625" style="8" bestFit="1" customWidth="1"/>
    <col min="73" max="73" width="18.42578125" style="8" customWidth="1"/>
    <col min="74" max="74" width="13.5703125" style="8" customWidth="1"/>
    <col min="75" max="16384" width="9.140625" style="8"/>
  </cols>
  <sheetData>
    <row r="1" spans="1:74" ht="15" x14ac:dyDescent="0.2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9" t="s">
        <v>36</v>
      </c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20" t="s">
        <v>37</v>
      </c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</row>
    <row r="2" spans="1:74" ht="102" customHeight="1" x14ac:dyDescent="0.2">
      <c r="A2" s="17" t="s">
        <v>0</v>
      </c>
      <c r="B2" s="17" t="s">
        <v>40</v>
      </c>
      <c r="C2" s="17" t="s">
        <v>41</v>
      </c>
      <c r="D2" s="17" t="s">
        <v>42</v>
      </c>
      <c r="E2" s="17" t="s">
        <v>381</v>
      </c>
      <c r="F2" s="17" t="s">
        <v>44</v>
      </c>
      <c r="G2" s="17" t="s">
        <v>45</v>
      </c>
      <c r="H2" s="17" t="s">
        <v>382</v>
      </c>
      <c r="I2" s="17" t="s">
        <v>383</v>
      </c>
      <c r="J2" s="21" t="s">
        <v>48</v>
      </c>
      <c r="K2" s="21" t="s">
        <v>49</v>
      </c>
      <c r="L2" s="21" t="s">
        <v>50</v>
      </c>
      <c r="M2" s="21" t="s">
        <v>51</v>
      </c>
      <c r="N2" s="21" t="s">
        <v>52</v>
      </c>
      <c r="O2" s="21" t="s">
        <v>53</v>
      </c>
      <c r="P2" s="21" t="s">
        <v>54</v>
      </c>
      <c r="Q2" s="21" t="s">
        <v>55</v>
      </c>
      <c r="R2" s="21" t="s">
        <v>56</v>
      </c>
      <c r="S2" s="21" t="s">
        <v>57</v>
      </c>
      <c r="T2" s="21" t="s">
        <v>58</v>
      </c>
      <c r="U2" s="21" t="s">
        <v>59</v>
      </c>
      <c r="V2" s="21" t="s">
        <v>60</v>
      </c>
      <c r="W2" s="21" t="s">
        <v>61</v>
      </c>
      <c r="X2" s="21" t="s">
        <v>62</v>
      </c>
      <c r="Y2" s="21" t="s">
        <v>63</v>
      </c>
      <c r="Z2" s="21" t="s">
        <v>64</v>
      </c>
      <c r="AA2" s="21" t="s">
        <v>65</v>
      </c>
      <c r="AB2" s="21" t="s">
        <v>66</v>
      </c>
      <c r="AC2" s="21" t="s">
        <v>67</v>
      </c>
      <c r="AD2" s="21" t="s">
        <v>68</v>
      </c>
      <c r="AE2" s="21" t="s">
        <v>384</v>
      </c>
      <c r="AF2" s="21" t="s">
        <v>385</v>
      </c>
      <c r="AG2" s="21" t="s">
        <v>71</v>
      </c>
      <c r="AH2" s="21" t="s">
        <v>72</v>
      </c>
      <c r="AI2" s="21" t="s">
        <v>73</v>
      </c>
      <c r="AJ2" s="21" t="s">
        <v>74</v>
      </c>
      <c r="AK2" s="21" t="s">
        <v>75</v>
      </c>
      <c r="AL2" s="21" t="s">
        <v>76</v>
      </c>
      <c r="AM2" s="21" t="s">
        <v>77</v>
      </c>
      <c r="AN2" s="21" t="s">
        <v>78</v>
      </c>
      <c r="AO2" s="21" t="s">
        <v>79</v>
      </c>
      <c r="AP2" s="21" t="s">
        <v>80</v>
      </c>
      <c r="AQ2" s="21" t="s">
        <v>81</v>
      </c>
      <c r="AR2" s="21" t="s">
        <v>82</v>
      </c>
      <c r="AS2" s="21" t="s">
        <v>83</v>
      </c>
      <c r="AT2" s="21" t="s">
        <v>84</v>
      </c>
      <c r="AU2" s="21" t="s">
        <v>85</v>
      </c>
      <c r="AV2" s="21" t="s">
        <v>86</v>
      </c>
      <c r="AW2" s="21" t="s">
        <v>87</v>
      </c>
      <c r="AX2" s="21" t="s">
        <v>88</v>
      </c>
      <c r="AY2" s="21" t="s">
        <v>89</v>
      </c>
      <c r="AZ2" s="21" t="s">
        <v>90</v>
      </c>
      <c r="BA2" s="21" t="s">
        <v>91</v>
      </c>
      <c r="BB2" s="21" t="s">
        <v>92</v>
      </c>
      <c r="BC2" s="21" t="s">
        <v>93</v>
      </c>
      <c r="BD2" s="21" t="s">
        <v>94</v>
      </c>
      <c r="BE2" s="22" t="s">
        <v>95</v>
      </c>
      <c r="BF2" s="22" t="s">
        <v>96</v>
      </c>
      <c r="BG2" s="22" t="s">
        <v>97</v>
      </c>
      <c r="BH2" s="22" t="s">
        <v>98</v>
      </c>
      <c r="BI2" s="22" t="s">
        <v>99</v>
      </c>
      <c r="BJ2" s="22" t="s">
        <v>100</v>
      </c>
      <c r="BK2" s="22" t="s">
        <v>101</v>
      </c>
      <c r="BL2" s="22" t="s">
        <v>102</v>
      </c>
      <c r="BM2" s="22" t="s">
        <v>103</v>
      </c>
      <c r="BN2" s="22" t="s">
        <v>104</v>
      </c>
      <c r="BO2" s="22" t="s">
        <v>386</v>
      </c>
      <c r="BP2" s="22" t="s">
        <v>106</v>
      </c>
      <c r="BQ2" s="22" t="s">
        <v>107</v>
      </c>
      <c r="BR2" s="22" t="s">
        <v>109</v>
      </c>
      <c r="BS2" s="22" t="s">
        <v>387</v>
      </c>
      <c r="BT2" s="22" t="s">
        <v>112</v>
      </c>
      <c r="BU2" s="22" t="s">
        <v>113</v>
      </c>
      <c r="BV2" s="22" t="s">
        <v>114</v>
      </c>
    </row>
    <row r="3" spans="1:74" ht="30" x14ac:dyDescent="0.2">
      <c r="A3" s="17"/>
      <c r="B3" s="17"/>
      <c r="C3" s="17"/>
      <c r="D3" s="17"/>
      <c r="E3" s="23" t="s">
        <v>399</v>
      </c>
      <c r="F3" s="23" t="s">
        <v>399</v>
      </c>
      <c r="G3" s="17" t="s">
        <v>399</v>
      </c>
      <c r="H3" s="17" t="s">
        <v>399</v>
      </c>
      <c r="I3" s="17" t="s">
        <v>399</v>
      </c>
      <c r="J3" s="21" t="s">
        <v>129</v>
      </c>
      <c r="K3" s="21" t="s">
        <v>129</v>
      </c>
      <c r="L3" s="21" t="s">
        <v>129</v>
      </c>
      <c r="M3" s="21" t="s">
        <v>129</v>
      </c>
      <c r="N3" s="21" t="s">
        <v>130</v>
      </c>
      <c r="O3" s="21" t="s">
        <v>131</v>
      </c>
      <c r="P3" s="21" t="s">
        <v>131</v>
      </c>
      <c r="Q3" s="21" t="s">
        <v>131</v>
      </c>
      <c r="R3" s="21" t="s">
        <v>131</v>
      </c>
      <c r="S3" s="21"/>
      <c r="T3" s="21" t="s">
        <v>132</v>
      </c>
      <c r="U3" s="21" t="s">
        <v>131</v>
      </c>
      <c r="V3" s="21"/>
      <c r="W3" s="21" t="s">
        <v>131</v>
      </c>
      <c r="X3" s="21" t="s">
        <v>132</v>
      </c>
      <c r="Y3" s="21" t="s">
        <v>131</v>
      </c>
      <c r="Z3" s="21" t="s">
        <v>133</v>
      </c>
      <c r="AA3" s="21" t="s">
        <v>134</v>
      </c>
      <c r="AB3" s="21" t="s">
        <v>128</v>
      </c>
      <c r="AC3" s="21" t="s">
        <v>389</v>
      </c>
      <c r="AD3" s="21" t="s">
        <v>389</v>
      </c>
      <c r="AE3" s="21" t="s">
        <v>136</v>
      </c>
      <c r="AF3" s="21" t="s">
        <v>136</v>
      </c>
      <c r="AG3" s="21" t="s">
        <v>137</v>
      </c>
      <c r="AH3" s="21" t="s">
        <v>131</v>
      </c>
      <c r="AI3" s="21" t="s">
        <v>131</v>
      </c>
      <c r="AJ3" s="21" t="s">
        <v>138</v>
      </c>
      <c r="AK3" s="21" t="s">
        <v>138</v>
      </c>
      <c r="AL3" s="21"/>
      <c r="AM3" s="21"/>
      <c r="AN3" s="21"/>
      <c r="AO3" s="21"/>
      <c r="AP3" s="21" t="s">
        <v>139</v>
      </c>
      <c r="AQ3" s="21" t="s">
        <v>140</v>
      </c>
      <c r="AR3" s="21" t="s">
        <v>141</v>
      </c>
      <c r="AS3" s="21"/>
      <c r="AT3" s="21" t="s">
        <v>142</v>
      </c>
      <c r="AU3" s="21" t="s">
        <v>128</v>
      </c>
      <c r="AV3" s="21" t="s">
        <v>131</v>
      </c>
      <c r="AW3" s="21" t="s">
        <v>131</v>
      </c>
      <c r="AX3" s="21" t="s">
        <v>131</v>
      </c>
      <c r="AY3" s="21" t="s">
        <v>131</v>
      </c>
      <c r="AZ3" s="21" t="s">
        <v>131</v>
      </c>
      <c r="BA3" s="21"/>
      <c r="BB3" s="21"/>
      <c r="BC3" s="21" t="s">
        <v>128</v>
      </c>
      <c r="BD3" s="21"/>
      <c r="BE3" s="22" t="s">
        <v>143</v>
      </c>
      <c r="BF3" s="22" t="s">
        <v>143</v>
      </c>
      <c r="BG3" s="22" t="s">
        <v>144</v>
      </c>
      <c r="BH3" s="22" t="s">
        <v>145</v>
      </c>
      <c r="BI3" s="22" t="s">
        <v>145</v>
      </c>
      <c r="BJ3" s="22" t="s">
        <v>145</v>
      </c>
      <c r="BK3" s="22" t="s">
        <v>145</v>
      </c>
      <c r="BL3" s="22" t="s">
        <v>146</v>
      </c>
      <c r="BM3" s="22" t="s">
        <v>145</v>
      </c>
      <c r="BN3" s="22" t="s">
        <v>145</v>
      </c>
      <c r="BO3" s="22"/>
      <c r="BP3" s="22" t="s">
        <v>147</v>
      </c>
      <c r="BQ3" s="22" t="s">
        <v>148</v>
      </c>
      <c r="BR3" s="22"/>
      <c r="BS3" s="22"/>
      <c r="BT3" s="22" t="s">
        <v>400</v>
      </c>
      <c r="BU3" s="22" t="s">
        <v>151</v>
      </c>
      <c r="BV3" s="22" t="s">
        <v>400</v>
      </c>
    </row>
    <row r="4" spans="1:74" ht="15" x14ac:dyDescent="0.2">
      <c r="A4" s="17" t="s">
        <v>28</v>
      </c>
      <c r="B4" s="17" t="s">
        <v>161</v>
      </c>
      <c r="C4" s="17" t="s">
        <v>161</v>
      </c>
      <c r="D4" s="17" t="s">
        <v>162</v>
      </c>
      <c r="E4" s="23" t="s">
        <v>29</v>
      </c>
      <c r="F4" s="23" t="s">
        <v>29</v>
      </c>
      <c r="G4" s="17" t="s">
        <v>29</v>
      </c>
      <c r="H4" s="17" t="s">
        <v>29</v>
      </c>
      <c r="I4" s="17" t="s">
        <v>29</v>
      </c>
      <c r="J4" s="21" t="s">
        <v>29</v>
      </c>
      <c r="K4" s="21" t="s">
        <v>29</v>
      </c>
      <c r="L4" s="21" t="s">
        <v>29</v>
      </c>
      <c r="M4" s="21" t="s">
        <v>29</v>
      </c>
      <c r="N4" s="21" t="s">
        <v>29</v>
      </c>
      <c r="O4" s="21" t="s">
        <v>29</v>
      </c>
      <c r="P4" s="21" t="s">
        <v>29</v>
      </c>
      <c r="Q4" s="21" t="s">
        <v>29</v>
      </c>
      <c r="R4" s="21" t="s">
        <v>29</v>
      </c>
      <c r="S4" s="21" t="s">
        <v>163</v>
      </c>
      <c r="T4" s="21" t="s">
        <v>29</v>
      </c>
      <c r="U4" s="21" t="s">
        <v>29</v>
      </c>
      <c r="V4" s="21" t="s">
        <v>163</v>
      </c>
      <c r="W4" s="21" t="s">
        <v>29</v>
      </c>
      <c r="X4" s="21" t="s">
        <v>29</v>
      </c>
      <c r="Y4" s="21" t="s">
        <v>29</v>
      </c>
      <c r="Z4" s="21" t="s">
        <v>29</v>
      </c>
      <c r="AA4" s="21" t="s">
        <v>29</v>
      </c>
      <c r="AB4" s="21" t="s">
        <v>29</v>
      </c>
      <c r="AC4" s="21" t="s">
        <v>29</v>
      </c>
      <c r="AD4" s="21" t="s">
        <v>29</v>
      </c>
      <c r="AE4" s="21" t="s">
        <v>29</v>
      </c>
      <c r="AF4" s="21" t="s">
        <v>29</v>
      </c>
      <c r="AG4" s="21" t="s">
        <v>29</v>
      </c>
      <c r="AH4" s="21" t="s">
        <v>29</v>
      </c>
      <c r="AI4" s="21" t="s">
        <v>29</v>
      </c>
      <c r="AJ4" s="21" t="s">
        <v>29</v>
      </c>
      <c r="AK4" s="21" t="s">
        <v>29</v>
      </c>
      <c r="AL4" s="21" t="s">
        <v>29</v>
      </c>
      <c r="AM4" s="21" t="s">
        <v>29</v>
      </c>
      <c r="AN4" s="21" t="s">
        <v>29</v>
      </c>
      <c r="AO4" s="21" t="s">
        <v>29</v>
      </c>
      <c r="AP4" s="21" t="s">
        <v>29</v>
      </c>
      <c r="AQ4" s="21" t="s">
        <v>29</v>
      </c>
      <c r="AR4" s="21" t="s">
        <v>29</v>
      </c>
      <c r="AS4" s="21" t="s">
        <v>29</v>
      </c>
      <c r="AT4" s="21" t="s">
        <v>29</v>
      </c>
      <c r="AU4" s="21" t="s">
        <v>29</v>
      </c>
      <c r="AV4" s="21" t="s">
        <v>29</v>
      </c>
      <c r="AW4" s="21" t="s">
        <v>29</v>
      </c>
      <c r="AX4" s="21" t="s">
        <v>29</v>
      </c>
      <c r="AY4" s="21" t="s">
        <v>29</v>
      </c>
      <c r="AZ4" s="21" t="s">
        <v>29</v>
      </c>
      <c r="BA4" s="21" t="s">
        <v>163</v>
      </c>
      <c r="BB4" s="21" t="s">
        <v>29</v>
      </c>
      <c r="BC4" s="21" t="s">
        <v>29</v>
      </c>
      <c r="BD4" s="21" t="s">
        <v>163</v>
      </c>
      <c r="BE4" s="22" t="s">
        <v>29</v>
      </c>
      <c r="BF4" s="22" t="s">
        <v>29</v>
      </c>
      <c r="BG4" s="22" t="s">
        <v>29</v>
      </c>
      <c r="BH4" s="22" t="s">
        <v>29</v>
      </c>
      <c r="BI4" s="22" t="s">
        <v>29</v>
      </c>
      <c r="BJ4" s="22" t="s">
        <v>29</v>
      </c>
      <c r="BK4" s="22" t="s">
        <v>29</v>
      </c>
      <c r="BL4" s="22"/>
      <c r="BM4" s="22" t="s">
        <v>29</v>
      </c>
      <c r="BN4" s="22" t="s">
        <v>29</v>
      </c>
      <c r="BO4" s="22" t="s">
        <v>29</v>
      </c>
      <c r="BP4" s="22" t="s">
        <v>29</v>
      </c>
      <c r="BQ4" s="22" t="s">
        <v>29</v>
      </c>
      <c r="BR4" s="22" t="s">
        <v>29</v>
      </c>
      <c r="BS4" s="22" t="s">
        <v>29</v>
      </c>
      <c r="BT4" s="22" t="s">
        <v>29</v>
      </c>
      <c r="BU4" s="22" t="s">
        <v>29</v>
      </c>
      <c r="BV4" s="22" t="s">
        <v>29</v>
      </c>
    </row>
    <row r="5" spans="1:74" ht="81.599999999999994" customHeight="1" x14ac:dyDescent="0.2">
      <c r="A5" s="3" t="s">
        <v>401</v>
      </c>
      <c r="B5" s="3" t="s">
        <v>402</v>
      </c>
      <c r="C5" s="3" t="s">
        <v>403</v>
      </c>
      <c r="D5" s="3">
        <v>2025</v>
      </c>
      <c r="E5" s="3">
        <v>50</v>
      </c>
      <c r="F5" s="3">
        <v>50</v>
      </c>
      <c r="G5" s="3"/>
      <c r="H5" s="3">
        <v>50</v>
      </c>
      <c r="I5" s="3">
        <v>50</v>
      </c>
      <c r="J5" s="3">
        <v>30</v>
      </c>
      <c r="K5" s="3">
        <v>20</v>
      </c>
      <c r="L5" s="3">
        <v>2</v>
      </c>
      <c r="M5" s="3">
        <v>2</v>
      </c>
      <c r="N5" s="3">
        <v>52</v>
      </c>
      <c r="O5" s="7">
        <v>0.2</v>
      </c>
      <c r="P5" s="7">
        <v>0.05</v>
      </c>
      <c r="Q5" s="3"/>
      <c r="R5" s="3"/>
      <c r="S5" s="3"/>
      <c r="T5" s="3"/>
      <c r="U5" s="3"/>
      <c r="V5" s="3"/>
      <c r="W5" s="3"/>
      <c r="X5" s="3"/>
      <c r="Y5" s="3"/>
      <c r="Z5" s="3"/>
      <c r="AA5" s="3">
        <v>65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5">
        <f>75000000</f>
        <v>75000000</v>
      </c>
      <c r="BI5" s="5">
        <f>BH5*1.1</f>
        <v>82500000</v>
      </c>
      <c r="BJ5" s="5">
        <f>30000000</f>
        <v>30000000</v>
      </c>
      <c r="BK5" s="5"/>
      <c r="BL5" s="5"/>
      <c r="BM5" s="5">
        <f>BH5*0.1</f>
        <v>7500000</v>
      </c>
      <c r="BN5" s="5">
        <f>45000000</f>
        <v>45000000</v>
      </c>
      <c r="BO5" s="5"/>
      <c r="BP5" s="5"/>
      <c r="BQ5" s="5"/>
      <c r="BR5" s="5"/>
      <c r="BS5" s="5"/>
      <c r="BT5" s="5">
        <v>45000</v>
      </c>
      <c r="BU5" s="5"/>
      <c r="BV5" s="5">
        <v>1248000</v>
      </c>
    </row>
    <row r="6" spans="1:74" x14ac:dyDescent="0.2">
      <c r="A6" s="9"/>
      <c r="B6" s="9"/>
      <c r="C6" s="9"/>
      <c r="D6" s="9"/>
    </row>
    <row r="7" spans="1:74" x14ac:dyDescent="0.2">
      <c r="A7" s="9"/>
      <c r="B7" s="9"/>
      <c r="C7" s="9"/>
      <c r="D7" s="9"/>
    </row>
    <row r="8" spans="1:74" x14ac:dyDescent="0.2">
      <c r="A8" s="9"/>
      <c r="B8" s="9"/>
      <c r="C8" s="9"/>
      <c r="D8" s="9"/>
    </row>
    <row r="9" spans="1:74" x14ac:dyDescent="0.2">
      <c r="A9" s="9"/>
      <c r="B9" s="9"/>
      <c r="C9" s="9"/>
      <c r="D9" s="9"/>
    </row>
    <row r="10" spans="1:74" x14ac:dyDescent="0.2">
      <c r="A10" s="9"/>
      <c r="B10" s="9"/>
      <c r="C10" s="9"/>
      <c r="D10" s="9"/>
    </row>
    <row r="11" spans="1:74" x14ac:dyDescent="0.2">
      <c r="A11" s="9"/>
      <c r="B11" s="9"/>
      <c r="C11" s="9"/>
      <c r="D11" s="9"/>
    </row>
    <row r="12" spans="1:74" x14ac:dyDescent="0.2">
      <c r="A12" s="9"/>
      <c r="B12" s="9"/>
      <c r="C12" s="9"/>
      <c r="D12" s="9"/>
    </row>
    <row r="13" spans="1:74" x14ac:dyDescent="0.2">
      <c r="A13" s="9"/>
      <c r="B13" s="9"/>
      <c r="C13" s="9"/>
      <c r="D13" s="9"/>
    </row>
    <row r="14" spans="1:74" x14ac:dyDescent="0.2">
      <c r="A14" s="9"/>
      <c r="B14" s="9"/>
      <c r="C14" s="9"/>
      <c r="D14" s="9"/>
    </row>
    <row r="15" spans="1:74" x14ac:dyDescent="0.2">
      <c r="A15" s="9"/>
      <c r="B15" s="9"/>
      <c r="C15" s="9"/>
      <c r="D15" s="9"/>
    </row>
    <row r="16" spans="1:74" x14ac:dyDescent="0.2">
      <c r="B16" s="9"/>
      <c r="C16" s="9"/>
      <c r="D16" s="9"/>
    </row>
  </sheetData>
  <conditionalFormatting sqref="AL2:AT2 BE2:BV2">
    <cfRule type="duplicateValues" dxfId="1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DBCC-2CEC-45CD-807F-164E6E474F38}">
  <dimension ref="A1:CA5"/>
  <sheetViews>
    <sheetView workbookViewId="0">
      <selection activeCell="E31" sqref="E31"/>
    </sheetView>
  </sheetViews>
  <sheetFormatPr defaultColWidth="9.140625" defaultRowHeight="12.75" x14ac:dyDescent="0.2"/>
  <cols>
    <col min="1" max="1" width="15.85546875" style="9" customWidth="1"/>
    <col min="2" max="2" width="25.85546875" style="9" customWidth="1"/>
    <col min="3" max="3" width="10.85546875" style="9" customWidth="1"/>
    <col min="4" max="4" width="16.85546875" style="9" customWidth="1"/>
    <col min="5" max="5" width="12.140625" style="9" customWidth="1"/>
    <col min="6" max="6" width="9.140625" style="9" customWidth="1"/>
    <col min="7" max="7" width="10.7109375" style="9" customWidth="1"/>
    <col min="8" max="8" width="9.140625" style="9" customWidth="1"/>
    <col min="9" max="9" width="16.5703125" style="9" customWidth="1"/>
    <col min="10" max="12" width="19.5703125" style="9" customWidth="1"/>
    <col min="13" max="13" width="14.5703125" style="9" customWidth="1"/>
    <col min="14" max="14" width="12.140625" style="9" customWidth="1"/>
    <col min="15" max="15" width="14.5703125" style="9" customWidth="1"/>
    <col min="16" max="16" width="12.5703125" style="9" customWidth="1"/>
    <col min="17" max="18" width="9.140625" style="9"/>
    <col min="19" max="19" width="13.42578125" style="9" customWidth="1"/>
    <col min="20" max="20" width="9.140625" style="9"/>
    <col min="21" max="21" width="19.42578125" style="9" customWidth="1"/>
    <col min="22" max="22" width="12.42578125" style="9" customWidth="1"/>
    <col min="23" max="23" width="13.140625" style="9" customWidth="1"/>
    <col min="24" max="24" width="17.140625" style="9" customWidth="1"/>
    <col min="25" max="25" width="18.140625" style="9" customWidth="1"/>
    <col min="26" max="26" width="17.140625" style="9" customWidth="1"/>
    <col min="27" max="27" width="13.140625" style="9" customWidth="1"/>
    <col min="28" max="28" width="17.5703125" style="9" customWidth="1"/>
    <col min="29" max="29" width="18" style="9" customWidth="1"/>
    <col min="30" max="30" width="15.5703125" style="9" customWidth="1"/>
    <col min="31" max="31" width="13.85546875" style="9" customWidth="1"/>
    <col min="32" max="32" width="18.85546875" style="9" customWidth="1"/>
    <col min="33" max="33" width="14.5703125" style="9" customWidth="1"/>
    <col min="34" max="34" width="11.42578125" style="9" customWidth="1"/>
    <col min="35" max="35" width="15.5703125" style="9" customWidth="1"/>
    <col min="36" max="36" width="16.42578125" style="9" customWidth="1"/>
    <col min="37" max="37" width="13.42578125" style="9" customWidth="1"/>
    <col min="38" max="39" width="9.140625" style="9"/>
    <col min="40" max="40" width="15" style="9" customWidth="1"/>
    <col min="41" max="41" width="9.140625" style="9"/>
    <col min="42" max="42" width="14.42578125" style="9" customWidth="1"/>
    <col min="43" max="43" width="12.5703125" style="9" customWidth="1"/>
    <col min="44" max="45" width="9.140625" style="9"/>
    <col min="46" max="46" width="17.85546875" style="9" customWidth="1"/>
    <col min="47" max="47" width="13.140625" style="9" customWidth="1"/>
    <col min="48" max="48" width="9.140625" style="9"/>
    <col min="49" max="49" width="12.5703125" style="9" customWidth="1"/>
    <col min="50" max="50" width="9.140625" style="9"/>
    <col min="51" max="51" width="13.42578125" style="9" customWidth="1"/>
    <col min="52" max="54" width="9.140625" style="9"/>
    <col min="55" max="55" width="15.85546875" style="9" customWidth="1"/>
    <col min="56" max="56" width="10.42578125" style="9" customWidth="1"/>
    <col min="57" max="61" width="9.140625" style="9"/>
    <col min="62" max="62" width="12.42578125" style="9" customWidth="1"/>
    <col min="63" max="64" width="9.140625" style="9"/>
    <col min="65" max="65" width="11.5703125" style="9" customWidth="1"/>
    <col min="66" max="66" width="14" style="9" customWidth="1"/>
    <col min="67" max="67" width="16.42578125" style="9" customWidth="1"/>
    <col min="68" max="68" width="12.42578125" style="9" customWidth="1"/>
    <col min="69" max="69" width="13.42578125" style="9" customWidth="1"/>
    <col min="70" max="70" width="13.140625" style="9" customWidth="1"/>
    <col min="71" max="71" width="13.5703125" style="9" customWidth="1"/>
    <col min="72" max="72" width="18.140625" style="9" customWidth="1"/>
    <col min="73" max="73" width="14.5703125" style="9" customWidth="1"/>
    <col min="74" max="74" width="18" style="9" customWidth="1"/>
    <col min="75" max="77" width="9.140625" style="9"/>
    <col min="78" max="78" width="13.85546875" style="9" customWidth="1"/>
    <col min="79" max="79" width="14" style="9" customWidth="1"/>
    <col min="80" max="16384" width="9.140625" style="9"/>
  </cols>
  <sheetData>
    <row r="1" spans="1:79" ht="15" x14ac:dyDescent="0.2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9" t="s">
        <v>36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20" t="s">
        <v>37</v>
      </c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</row>
    <row r="2" spans="1:79" ht="73.349999999999994" customHeight="1" x14ac:dyDescent="0.2">
      <c r="A2" s="17" t="s">
        <v>0</v>
      </c>
      <c r="B2" s="17" t="s">
        <v>40</v>
      </c>
      <c r="C2" s="17" t="s">
        <v>41</v>
      </c>
      <c r="D2" s="17" t="s">
        <v>42</v>
      </c>
      <c r="E2" s="17" t="s">
        <v>404</v>
      </c>
      <c r="F2" s="17" t="s">
        <v>405</v>
      </c>
      <c r="G2" s="17" t="s">
        <v>406</v>
      </c>
      <c r="H2" s="17" t="s">
        <v>407</v>
      </c>
      <c r="I2" s="17" t="s">
        <v>45</v>
      </c>
      <c r="J2" s="17" t="s">
        <v>408</v>
      </c>
      <c r="K2" s="17" t="s">
        <v>409</v>
      </c>
      <c r="L2" s="17" t="s">
        <v>410</v>
      </c>
      <c r="M2" s="17" t="s">
        <v>411</v>
      </c>
      <c r="N2" s="21" t="s">
        <v>48</v>
      </c>
      <c r="O2" s="21" t="s">
        <v>49</v>
      </c>
      <c r="P2" s="21" t="s">
        <v>50</v>
      </c>
      <c r="Q2" s="21" t="s">
        <v>51</v>
      </c>
      <c r="R2" s="21" t="s">
        <v>52</v>
      </c>
      <c r="S2" s="21" t="s">
        <v>53</v>
      </c>
      <c r="T2" s="21" t="s">
        <v>54</v>
      </c>
      <c r="U2" s="21" t="s">
        <v>55</v>
      </c>
      <c r="V2" s="21" t="s">
        <v>56</v>
      </c>
      <c r="W2" s="21" t="s">
        <v>57</v>
      </c>
      <c r="X2" s="21" t="s">
        <v>58</v>
      </c>
      <c r="Y2" s="21" t="s">
        <v>59</v>
      </c>
      <c r="Z2" s="21" t="s">
        <v>60</v>
      </c>
      <c r="AA2" s="21" t="s">
        <v>61</v>
      </c>
      <c r="AB2" s="21" t="s">
        <v>62</v>
      </c>
      <c r="AC2" s="21" t="s">
        <v>63</v>
      </c>
      <c r="AD2" s="21" t="s">
        <v>64</v>
      </c>
      <c r="AE2" s="21" t="s">
        <v>65</v>
      </c>
      <c r="AF2" s="21" t="s">
        <v>66</v>
      </c>
      <c r="AG2" s="21" t="s">
        <v>67</v>
      </c>
      <c r="AH2" s="21" t="s">
        <v>68</v>
      </c>
      <c r="AI2" s="21" t="s">
        <v>384</v>
      </c>
      <c r="AJ2" s="21" t="s">
        <v>385</v>
      </c>
      <c r="AK2" s="21" t="s">
        <v>71</v>
      </c>
      <c r="AL2" s="21" t="s">
        <v>72</v>
      </c>
      <c r="AM2" s="21" t="s">
        <v>73</v>
      </c>
      <c r="AN2" s="21" t="s">
        <v>74</v>
      </c>
      <c r="AO2" s="21" t="s">
        <v>75</v>
      </c>
      <c r="AP2" s="21" t="s">
        <v>76</v>
      </c>
      <c r="AQ2" s="21" t="s">
        <v>77</v>
      </c>
      <c r="AR2" s="21" t="s">
        <v>78</v>
      </c>
      <c r="AS2" s="21" t="s">
        <v>79</v>
      </c>
      <c r="AT2" s="21" t="s">
        <v>80</v>
      </c>
      <c r="AU2" s="21" t="s">
        <v>81</v>
      </c>
      <c r="AV2" s="21" t="s">
        <v>82</v>
      </c>
      <c r="AW2" s="21" t="s">
        <v>83</v>
      </c>
      <c r="AX2" s="21" t="s">
        <v>84</v>
      </c>
      <c r="AY2" s="21" t="s">
        <v>85</v>
      </c>
      <c r="AZ2" s="21" t="s">
        <v>86</v>
      </c>
      <c r="BA2" s="21" t="s">
        <v>87</v>
      </c>
      <c r="BB2" s="21" t="s">
        <v>88</v>
      </c>
      <c r="BC2" s="21" t="s">
        <v>89</v>
      </c>
      <c r="BD2" s="21" t="s">
        <v>90</v>
      </c>
      <c r="BE2" s="21" t="s">
        <v>91</v>
      </c>
      <c r="BF2" s="21" t="s">
        <v>92</v>
      </c>
      <c r="BG2" s="21" t="s">
        <v>93</v>
      </c>
      <c r="BH2" s="21" t="s">
        <v>94</v>
      </c>
      <c r="BI2" s="22" t="s">
        <v>412</v>
      </c>
      <c r="BJ2" s="22" t="s">
        <v>413</v>
      </c>
      <c r="BK2" s="22" t="s">
        <v>96</v>
      </c>
      <c r="BL2" s="22" t="s">
        <v>97</v>
      </c>
      <c r="BM2" s="22" t="s">
        <v>98</v>
      </c>
      <c r="BN2" s="22" t="s">
        <v>99</v>
      </c>
      <c r="BO2" s="22" t="s">
        <v>100</v>
      </c>
      <c r="BP2" s="22" t="s">
        <v>101</v>
      </c>
      <c r="BQ2" s="22" t="s">
        <v>102</v>
      </c>
      <c r="BR2" s="22" t="s">
        <v>103</v>
      </c>
      <c r="BS2" s="22" t="s">
        <v>104</v>
      </c>
      <c r="BT2" s="22" t="s">
        <v>386</v>
      </c>
      <c r="BU2" s="22" t="s">
        <v>106</v>
      </c>
      <c r="BV2" s="22" t="s">
        <v>107</v>
      </c>
      <c r="BW2" s="22" t="s">
        <v>109</v>
      </c>
      <c r="BX2" s="22" t="s">
        <v>387</v>
      </c>
      <c r="BY2" s="22" t="s">
        <v>112</v>
      </c>
      <c r="BZ2" s="22" t="s">
        <v>113</v>
      </c>
      <c r="CA2" s="22" t="s">
        <v>114</v>
      </c>
    </row>
    <row r="3" spans="1:79" ht="30" x14ac:dyDescent="0.2">
      <c r="A3" s="17"/>
      <c r="B3" s="17"/>
      <c r="C3" s="17"/>
      <c r="D3" s="17"/>
      <c r="E3" s="23" t="s">
        <v>128</v>
      </c>
      <c r="F3" s="23" t="s">
        <v>128</v>
      </c>
      <c r="G3" s="23" t="s">
        <v>128</v>
      </c>
      <c r="H3" s="23" t="s">
        <v>128</v>
      </c>
      <c r="I3" s="17" t="s">
        <v>128</v>
      </c>
      <c r="J3" s="17" t="s">
        <v>128</v>
      </c>
      <c r="K3" s="17" t="s">
        <v>128</v>
      </c>
      <c r="L3" s="17" t="s">
        <v>128</v>
      </c>
      <c r="M3" s="17" t="s">
        <v>128</v>
      </c>
      <c r="N3" s="21" t="s">
        <v>129</v>
      </c>
      <c r="O3" s="21" t="s">
        <v>129</v>
      </c>
      <c r="P3" s="21" t="s">
        <v>129</v>
      </c>
      <c r="Q3" s="21" t="s">
        <v>129</v>
      </c>
      <c r="R3" s="21" t="s">
        <v>130</v>
      </c>
      <c r="S3" s="21" t="s">
        <v>131</v>
      </c>
      <c r="T3" s="21" t="s">
        <v>131</v>
      </c>
      <c r="U3" s="21" t="s">
        <v>131</v>
      </c>
      <c r="V3" s="21" t="s">
        <v>131</v>
      </c>
      <c r="W3" s="21"/>
      <c r="X3" s="21" t="s">
        <v>132</v>
      </c>
      <c r="Y3" s="21" t="s">
        <v>131</v>
      </c>
      <c r="Z3" s="21"/>
      <c r="AA3" s="21" t="s">
        <v>131</v>
      </c>
      <c r="AB3" s="21" t="s">
        <v>132</v>
      </c>
      <c r="AC3" s="21" t="s">
        <v>131</v>
      </c>
      <c r="AD3" s="21" t="s">
        <v>133</v>
      </c>
      <c r="AE3" s="21" t="s">
        <v>134</v>
      </c>
      <c r="AF3" s="21" t="s">
        <v>128</v>
      </c>
      <c r="AG3" s="21" t="s">
        <v>389</v>
      </c>
      <c r="AH3" s="21" t="s">
        <v>389</v>
      </c>
      <c r="AI3" s="21" t="s">
        <v>136</v>
      </c>
      <c r="AJ3" s="21" t="s">
        <v>136</v>
      </c>
      <c r="AK3" s="21" t="s">
        <v>137</v>
      </c>
      <c r="AL3" s="21" t="s">
        <v>131</v>
      </c>
      <c r="AM3" s="21" t="s">
        <v>131</v>
      </c>
      <c r="AN3" s="21" t="s">
        <v>138</v>
      </c>
      <c r="AO3" s="21" t="s">
        <v>138</v>
      </c>
      <c r="AP3" s="21"/>
      <c r="AQ3" s="21"/>
      <c r="AR3" s="21"/>
      <c r="AS3" s="21"/>
      <c r="AT3" s="21" t="s">
        <v>139</v>
      </c>
      <c r="AU3" s="21" t="s">
        <v>140</v>
      </c>
      <c r="AV3" s="21" t="s">
        <v>141</v>
      </c>
      <c r="AW3" s="21"/>
      <c r="AX3" s="21" t="s">
        <v>142</v>
      </c>
      <c r="AY3" s="21" t="s">
        <v>128</v>
      </c>
      <c r="AZ3" s="21" t="s">
        <v>131</v>
      </c>
      <c r="BA3" s="21" t="s">
        <v>131</v>
      </c>
      <c r="BB3" s="21" t="s">
        <v>131</v>
      </c>
      <c r="BC3" s="21" t="s">
        <v>131</v>
      </c>
      <c r="BD3" s="21" t="s">
        <v>131</v>
      </c>
      <c r="BE3" s="21"/>
      <c r="BF3" s="21"/>
      <c r="BG3" s="21" t="s">
        <v>128</v>
      </c>
      <c r="BH3" s="21"/>
      <c r="BI3" s="22" t="s">
        <v>143</v>
      </c>
      <c r="BJ3" s="22" t="s">
        <v>143</v>
      </c>
      <c r="BK3" s="22" t="s">
        <v>143</v>
      </c>
      <c r="BL3" s="22" t="s">
        <v>144</v>
      </c>
      <c r="BM3" s="22" t="s">
        <v>145</v>
      </c>
      <c r="BN3" s="22" t="s">
        <v>145</v>
      </c>
      <c r="BO3" s="22" t="s">
        <v>145</v>
      </c>
      <c r="BP3" s="22" t="s">
        <v>145</v>
      </c>
      <c r="BQ3" s="22" t="s">
        <v>146</v>
      </c>
      <c r="BR3" s="22" t="s">
        <v>145</v>
      </c>
      <c r="BS3" s="22" t="s">
        <v>145</v>
      </c>
      <c r="BT3" s="22"/>
      <c r="BU3" s="22" t="s">
        <v>147</v>
      </c>
      <c r="BV3" s="22" t="s">
        <v>148</v>
      </c>
      <c r="BW3" s="22"/>
      <c r="BX3" s="22"/>
      <c r="BY3" s="22" t="s">
        <v>151</v>
      </c>
      <c r="BZ3" s="22" t="s">
        <v>151</v>
      </c>
      <c r="CA3" s="22" t="s">
        <v>152</v>
      </c>
    </row>
    <row r="4" spans="1:79" ht="15" x14ac:dyDescent="0.2">
      <c r="A4" s="17" t="s">
        <v>28</v>
      </c>
      <c r="B4" s="17" t="s">
        <v>161</v>
      </c>
      <c r="C4" s="17" t="s">
        <v>161</v>
      </c>
      <c r="D4" s="17" t="s">
        <v>162</v>
      </c>
      <c r="E4" s="23" t="s">
        <v>29</v>
      </c>
      <c r="F4" s="23" t="s">
        <v>29</v>
      </c>
      <c r="G4" s="23" t="s">
        <v>29</v>
      </c>
      <c r="H4" s="23" t="s">
        <v>29</v>
      </c>
      <c r="I4" s="17" t="s">
        <v>29</v>
      </c>
      <c r="J4" s="17" t="s">
        <v>29</v>
      </c>
      <c r="K4" s="17" t="s">
        <v>29</v>
      </c>
      <c r="L4" s="17" t="s">
        <v>29</v>
      </c>
      <c r="M4" s="17" t="s">
        <v>29</v>
      </c>
      <c r="N4" s="21" t="s">
        <v>29</v>
      </c>
      <c r="O4" s="21" t="s">
        <v>29</v>
      </c>
      <c r="P4" s="21" t="s">
        <v>29</v>
      </c>
      <c r="Q4" s="21" t="s">
        <v>29</v>
      </c>
      <c r="R4" s="21" t="s">
        <v>29</v>
      </c>
      <c r="S4" s="21" t="s">
        <v>29</v>
      </c>
      <c r="T4" s="21" t="s">
        <v>29</v>
      </c>
      <c r="U4" s="21" t="s">
        <v>29</v>
      </c>
      <c r="V4" s="21" t="s">
        <v>29</v>
      </c>
      <c r="W4" s="21" t="s">
        <v>163</v>
      </c>
      <c r="X4" s="21" t="s">
        <v>29</v>
      </c>
      <c r="Y4" s="21" t="s">
        <v>29</v>
      </c>
      <c r="Z4" s="21" t="s">
        <v>163</v>
      </c>
      <c r="AA4" s="21" t="s">
        <v>29</v>
      </c>
      <c r="AB4" s="21" t="s">
        <v>29</v>
      </c>
      <c r="AC4" s="21" t="s">
        <v>29</v>
      </c>
      <c r="AD4" s="21" t="s">
        <v>29</v>
      </c>
      <c r="AE4" s="21" t="s">
        <v>29</v>
      </c>
      <c r="AF4" s="21" t="s">
        <v>29</v>
      </c>
      <c r="AG4" s="21" t="s">
        <v>29</v>
      </c>
      <c r="AH4" s="21" t="s">
        <v>29</v>
      </c>
      <c r="AI4" s="21" t="s">
        <v>29</v>
      </c>
      <c r="AJ4" s="21" t="s">
        <v>29</v>
      </c>
      <c r="AK4" s="21" t="s">
        <v>29</v>
      </c>
      <c r="AL4" s="21" t="s">
        <v>29</v>
      </c>
      <c r="AM4" s="21" t="s">
        <v>29</v>
      </c>
      <c r="AN4" s="21" t="s">
        <v>29</v>
      </c>
      <c r="AO4" s="21" t="s">
        <v>29</v>
      </c>
      <c r="AP4" s="21" t="s">
        <v>29</v>
      </c>
      <c r="AQ4" s="21" t="s">
        <v>29</v>
      </c>
      <c r="AR4" s="21" t="s">
        <v>29</v>
      </c>
      <c r="AS4" s="21" t="s">
        <v>29</v>
      </c>
      <c r="AT4" s="21" t="s">
        <v>29</v>
      </c>
      <c r="AU4" s="21" t="s">
        <v>29</v>
      </c>
      <c r="AV4" s="21" t="s">
        <v>29</v>
      </c>
      <c r="AW4" s="21" t="s">
        <v>29</v>
      </c>
      <c r="AX4" s="21" t="s">
        <v>29</v>
      </c>
      <c r="AY4" s="21" t="s">
        <v>29</v>
      </c>
      <c r="AZ4" s="21" t="s">
        <v>29</v>
      </c>
      <c r="BA4" s="21" t="s">
        <v>29</v>
      </c>
      <c r="BB4" s="21" t="s">
        <v>29</v>
      </c>
      <c r="BC4" s="21" t="s">
        <v>29</v>
      </c>
      <c r="BD4" s="21" t="s">
        <v>29</v>
      </c>
      <c r="BE4" s="21" t="s">
        <v>163</v>
      </c>
      <c r="BF4" s="21" t="s">
        <v>29</v>
      </c>
      <c r="BG4" s="21" t="s">
        <v>29</v>
      </c>
      <c r="BH4" s="21" t="s">
        <v>163</v>
      </c>
      <c r="BI4" s="22" t="s">
        <v>29</v>
      </c>
      <c r="BJ4" s="22" t="s">
        <v>29</v>
      </c>
      <c r="BK4" s="22" t="s">
        <v>29</v>
      </c>
      <c r="BL4" s="22" t="s">
        <v>29</v>
      </c>
      <c r="BM4" s="22" t="s">
        <v>29</v>
      </c>
      <c r="BN4" s="22" t="s">
        <v>29</v>
      </c>
      <c r="BO4" s="22" t="s">
        <v>29</v>
      </c>
      <c r="BP4" s="22" t="s">
        <v>29</v>
      </c>
      <c r="BQ4" s="22"/>
      <c r="BR4" s="22" t="s">
        <v>29</v>
      </c>
      <c r="BS4" s="22" t="s">
        <v>29</v>
      </c>
      <c r="BT4" s="22" t="s">
        <v>29</v>
      </c>
      <c r="BU4" s="22" t="s">
        <v>29</v>
      </c>
      <c r="BV4" s="22" t="s">
        <v>29</v>
      </c>
      <c r="BW4" s="22" t="s">
        <v>29</v>
      </c>
      <c r="BX4" s="22" t="s">
        <v>29</v>
      </c>
      <c r="BY4" s="22" t="s">
        <v>29</v>
      </c>
      <c r="BZ4" s="22" t="s">
        <v>29</v>
      </c>
      <c r="CA4" s="22" t="s">
        <v>29</v>
      </c>
    </row>
    <row r="5" spans="1:79" ht="15" x14ac:dyDescent="0.2">
      <c r="A5" s="2" t="s">
        <v>414</v>
      </c>
      <c r="B5" s="3" t="s">
        <v>415</v>
      </c>
      <c r="C5" s="3" t="s">
        <v>416</v>
      </c>
      <c r="D5" s="3">
        <v>2025</v>
      </c>
      <c r="E5" s="3">
        <v>30</v>
      </c>
      <c r="F5" s="3">
        <v>44.2</v>
      </c>
      <c r="G5" s="3">
        <v>27.8</v>
      </c>
      <c r="H5" s="3">
        <v>44.2</v>
      </c>
      <c r="I5" s="3"/>
      <c r="J5" s="3">
        <v>27.4</v>
      </c>
      <c r="K5" s="3">
        <v>44.2</v>
      </c>
      <c r="L5" s="3">
        <v>28</v>
      </c>
      <c r="M5" s="3">
        <v>44.2</v>
      </c>
      <c r="N5" s="3">
        <v>30</v>
      </c>
      <c r="O5" s="3">
        <v>25</v>
      </c>
      <c r="P5" s="3">
        <v>3</v>
      </c>
      <c r="Q5" s="3">
        <v>1.75</v>
      </c>
      <c r="R5" s="3">
        <v>65</v>
      </c>
      <c r="S5" s="4">
        <v>0.4</v>
      </c>
      <c r="T5" s="4">
        <v>7.2999999999999995E-2</v>
      </c>
      <c r="U5" s="3"/>
      <c r="V5" s="3"/>
      <c r="W5" s="3"/>
      <c r="X5" s="3"/>
      <c r="Y5" s="3"/>
      <c r="Z5" s="3"/>
      <c r="AA5" s="3"/>
      <c r="AB5" s="3"/>
      <c r="AC5" s="4">
        <v>0.04</v>
      </c>
      <c r="AD5" s="3"/>
      <c r="AE5" s="3">
        <v>22.8</v>
      </c>
      <c r="AF5" s="3"/>
      <c r="AG5" s="3">
        <v>72</v>
      </c>
      <c r="AH5" s="3">
        <v>72</v>
      </c>
      <c r="AI5" s="3">
        <v>18.091999999999999</v>
      </c>
      <c r="AJ5" s="3">
        <v>16.254999999999999</v>
      </c>
      <c r="AK5" s="3"/>
      <c r="AL5" s="4">
        <v>0.2215</v>
      </c>
      <c r="AM5" s="4">
        <v>0.57399999999999995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>
        <v>8271</v>
      </c>
      <c r="BJ5" s="3">
        <v>3191</v>
      </c>
      <c r="BK5" s="3"/>
      <c r="BL5" s="3"/>
      <c r="BM5" s="3">
        <v>229938910</v>
      </c>
      <c r="BN5" s="32">
        <f>BM5*1.09</f>
        <v>250633411.90000001</v>
      </c>
      <c r="BO5" s="3">
        <v>137963710</v>
      </c>
      <c r="BP5" s="3"/>
      <c r="BQ5" s="3"/>
      <c r="BR5" s="32">
        <f>BM5*0.09</f>
        <v>20694501.899999999</v>
      </c>
      <c r="BS5" s="3">
        <v>91975200</v>
      </c>
      <c r="BT5" s="3"/>
      <c r="BU5" s="3"/>
      <c r="BV5" s="3"/>
      <c r="BW5" s="3"/>
      <c r="BX5" s="3"/>
      <c r="BY5" s="3">
        <v>186130</v>
      </c>
      <c r="BZ5" s="3"/>
      <c r="CA5" s="3">
        <v>10.9</v>
      </c>
    </row>
  </sheetData>
  <conditionalFormatting sqref="AP2:AX2 BI2:CA2">
    <cfRule type="duplicateValues" dxfId="0" priority="1"/>
  </conditionalFormatting>
  <pageMargins left="0.59055118110236227" right="0.59055118110236227" top="0.78740157480314965" bottom="0.78740157480314965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5309F858E18A9645A0DEEE3F75EED625" ma:contentTypeVersion="4" ma:contentTypeDescription="" ma:contentTypeScope="" ma:versionID="f8826ca7d36bbfdfb0d0e6457cbd59bb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d37eadb164c87e325cf702261b68d7b6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e90fbda-2021-4c7c-adc2-9a5c24f8bf8e}" ma:internalName="TaxCatchAll" ma:showField="CatchAllData" ma:web="99701f9b-635c-461b-a528-cd252cbe7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e90fbda-2021-4c7c-adc2-9a5c24f8bf8e}" ma:internalName="TaxCatchAllLabel" ma:readOnly="true" ma:showField="CatchAllDataLabel" ma:web="99701f9b-635c-461b-a528-cd252cbe78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82774FAFD2180F48AEEA8305B08ED5EB007AD3AD46A355C74B8899101102186F27" ma:contentTypeVersion="19" ma:contentTypeDescription="" ma:contentTypeScope="" ma:versionID="bccf2a23f3b4b3b73ebb0f9fe2d08972">
  <xsd:schema xmlns:xsd="http://www.w3.org/2001/XMLSchema" xmlns:xs="http://www.w3.org/2001/XMLSchema" xmlns:p="http://schemas.microsoft.com/office/2006/metadata/properties" xmlns:ns2="5d1a2284-45bc-4927-a9f9-e51f9f17c21a" xmlns:ns3="5e961b9e-34d0-497f-82b5-a22721f824ef" targetNamespace="http://schemas.microsoft.com/office/2006/metadata/properties" ma:root="true" ma:fieldsID="93471251f7c8830afa025d587ea3dd2e" ns2:_="" ns3:_="">
    <xsd:import namespace="5d1a2284-45bc-4927-a9f9-e51f9f17c21a"/>
    <xsd:import namespace="5e961b9e-34d0-497f-82b5-a22721f824e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n48c0e796e4048278b990f60b6de340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9487d54-bc8a-4656-9a92-0d0c204a44de}" ma:internalName="TaxCatchAll" ma:showField="CatchAllData" ma:web="6c4eeeb0-743f-42cc-92cc-e56d0d818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9487d54-bc8a-4656-9a92-0d0c204a44de}" ma:internalName="TaxCatchAllLabel" ma:readOnly="true" ma:showField="CatchAllDataLabel" ma:web="6c4eeeb0-743f-42cc-92cc-e56d0d818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n48c0e796e4048278b990f60b6de340e" ma:index="12" nillable="true" ma:taxonomy="true" ma:internalName="n48c0e796e4048278b990f60b6de340e" ma:taxonomyFieldName="AEMO_x0020_Communication_x0020_Document_x0020_Type1" ma:displayName="AEMO Collaboration Document Type" ma:default="" ma:fieldId="{748c0e79-6e40-4827-8b99-0f60b6de340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61b9e-34d0-497f-82b5-a22721f824e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1a2284-45bc-4927-a9f9-e51f9f17c21a" xsi:nil="true"/>
    <TaxKeywordTaxHTField xmlns="5d1a2284-45bc-4927-a9f9-e51f9f17c21a">
      <Terms xmlns="http://schemas.microsoft.com/office/infopath/2007/PartnerControls"/>
    </TaxKeywordTaxHTField>
    <n48c0e796e4048278b990f60b6de340e xmlns="5d1a2284-45bc-4927-a9f9-e51f9f17c21a">
      <Terms xmlns="http://schemas.microsoft.com/office/infopath/2007/PartnerControls"/>
    </n48c0e796e4048278b990f60b6de340e>
    <lcf76f155ced4ddcb4097134ff3c332f xmlns="5e961b9e-34d0-497f-82b5-a22721f824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9B29ED-94B1-4A63-8A6F-881B56374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9BDF42-571A-4B76-AAD2-25F2B1FBF199}"/>
</file>

<file path=customXml/itemProps3.xml><?xml version="1.0" encoding="utf-8"?>
<ds:datastoreItem xmlns:ds="http://schemas.openxmlformats.org/officeDocument/2006/customXml" ds:itemID="{90CD9339-2C71-4A98-886F-61B0F65545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98817D-3851-46F7-A6D9-485FB806C49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d1a2284-45bc-4927-a9f9-e51f9f17c21a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Capacity_Factors</vt:lpstr>
      <vt:lpstr>Generation_Storages_Electrolyse</vt:lpstr>
      <vt:lpstr>SMR_&amp;_Liquefaction_Plant</vt:lpstr>
      <vt:lpstr>Ammonia_Facility</vt:lpstr>
      <vt:lpstr>Water_Treatment</vt:lpstr>
      <vt:lpstr>Hydrogen_Storage</vt:lpstr>
      <vt:lpstr>Biogas Digestors</vt:lpstr>
      <vt:lpstr>Biodiesel Production</vt:lpstr>
      <vt:lpstr>Biomass Generation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2025-07-28T22:08:20Z</dcterms:created>
  <dcterms:modified xsi:type="dcterms:W3CDTF">2025-11-28T06:01:50Z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0x01010082774FAFD2180F48AEEA8305B08ED5EB007AD3AD46A355C74B8899101102186F27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AEMO_x0020_Communication_x0020_Document_x0020_Type1">
    <vt:lpwstr/>
  </property>
  <property fmtid="{D5CDD505-2E9C-101B-9397-08002B2CF9AE}" pid="6" name="AEMO Communication Document Type1">
    <vt:lpwstr/>
  </property>
</Properties>
</file>