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09"/>
  <workbookPr filterPrivacy="1" showInkAnnotation="0" backupFile="1" codeName="ThisWorkbook" autoCompressPictures="0" defaultThemeVersion="166925"/>
  <xr:revisionPtr revIDLastSave="0" documentId="8_{4A5652DB-A996-458D-BF79-8B3AB4B2562E}" xr6:coauthVersionLast="47" xr6:coauthVersionMax="47" xr10:uidLastSave="{00000000-0000-0000-0000-000000000000}"/>
  <workbookProtection workbookAlgorithmName="SHA-512" workbookHashValue="lmHVQP5ihJ7zZ7Gubouanw93AlnX/kksHSydaNxm5y4M4pUELJaMueEGAEx4uwPJ0QPeIrlBmh4fLqcr1VQaRw==" workbookSaltValue="o+RdZr9+CT87b8zWY88mZA==" workbookSpinCount="100000" lockStructure="1"/>
  <bookViews>
    <workbookView xWindow="-120" yWindow="-120" windowWidth="29040" windowHeight="15840" firstSheet="15" activeTab="15" xr2:uid="{00000000-000D-0000-FFFF-FFFF00000000}"/>
  </bookViews>
  <sheets>
    <sheet name="Home" sheetId="45" r:id="rId1"/>
    <sheet name="E-CAT" sheetId="68" r:id="rId2"/>
    <sheet name="G-CAT" sheetId="69" r:id="rId3"/>
    <sheet name="L-CAT" sheetId="70" r:id="rId4"/>
    <sheet name="RM" sheetId="52" r:id="rId5"/>
    <sheet name="CPM" sheetId="54" r:id="rId6"/>
    <sheet name="ACM" sheetId="55" r:id="rId7"/>
    <sheet name="IAM" sheetId="56" r:id="rId8"/>
    <sheet name="ISC" sheetId="57" r:id="rId9"/>
    <sheet name="TVM" sheetId="58" r:id="rId10"/>
    <sheet name="SA" sheetId="59" r:id="rId11"/>
    <sheet name="IR" sheetId="60" r:id="rId12"/>
    <sheet name="EDM" sheetId="61" r:id="rId13"/>
    <sheet name="WM" sheetId="62" r:id="rId14"/>
    <sheet name="APM" sheetId="63" r:id="rId15"/>
    <sheet name="Dashboard 1" sheetId="43" r:id="rId16"/>
    <sheet name="Dashboard 2" sheetId="65" r:id="rId17"/>
    <sheet name="Glossary" sheetId="49" r:id="rId18"/>
    <sheet name="Aggregate" sheetId="16" state="veryHidden" r:id="rId19"/>
    <sheet name="Lookup" sheetId="46" state="veryHidden" r:id="rId20"/>
  </sheets>
  <definedNames>
    <definedName name="_xlnm._FilterDatabase" localSheetId="18" hidden="1">Aggregate!$D$1:$D$283</definedName>
    <definedName name="A.DNSP.0">Lookup!$H$3:$H$4</definedName>
    <definedName name="A.DNSP.1">Lookup!$H$7:$H$12</definedName>
    <definedName name="A.DNSP.2">Lookup!$H$15:$H$19</definedName>
    <definedName name="A.DNSP.3">Lookup!$H$22:$H$26</definedName>
    <definedName name="A.DNSP.4">Lookup!$H$29:$H$35</definedName>
    <definedName name="A.G_DNSP.0">Lookup!$S$3:$S$4</definedName>
    <definedName name="A.G_DNSP.1">Lookup!$S$7:$S$12</definedName>
    <definedName name="A.G_DNSP.2">Lookup!$S$15:$S$20</definedName>
    <definedName name="A.G_DNSP.3">Lookup!$S$23:$S$24</definedName>
    <definedName name="A.G_DNSP.4">Lookup!$S$27:$S$31</definedName>
    <definedName name="A.G_DNSP.5">Lookup!$S$34:$S$41</definedName>
    <definedName name="A.G_OPS.0">Lookup!$S$73:$S$74</definedName>
    <definedName name="A.G_OPS.1">Lookup!$S$77:$S$84</definedName>
    <definedName name="A.G_PROD.0">Lookup!$O$3:$O$4</definedName>
    <definedName name="A.G_PROD.1">Lookup!$O$7:$O$12</definedName>
    <definedName name="A.G_PROD.2">Lookup!$O$15:$O$16</definedName>
    <definedName name="A.G_PROD.2.1">Lookup!$O$19:$O$24</definedName>
    <definedName name="A.G_PROD.3">Lookup!$O$27:$O$34</definedName>
    <definedName name="A.G_RET.0">Lookup!$S$44:$S$45</definedName>
    <definedName name="A.G_RET.1">Lookup!$S$48:$S$53</definedName>
    <definedName name="A.G_RET.2">Lookup!$S$56:$S$60</definedName>
    <definedName name="A.G_RET.3">Lookup!$S$63:$S$70</definedName>
    <definedName name="A.G_STOR.0">Lookup!$O$101:$O$102</definedName>
    <definedName name="A.G_STOR.1">Lookup!$O$105:$O$110</definedName>
    <definedName name="A.G_STOR.2">Lookup!$O$113:$O$118</definedName>
    <definedName name="A.G_STOR.3">Lookup!$O$121:$O$128</definedName>
    <definedName name="A.G_TNSP.0">Lookup!$O$37:$O$38</definedName>
    <definedName name="A.G_TNSP.1">Lookup!$O$41:$O$46</definedName>
    <definedName name="A.G_TNSP.2">Lookup!$O$49:$O$53</definedName>
    <definedName name="A.G_TNSP.3">Lookup!$O$56:$O$60</definedName>
    <definedName name="A.G_TNSP.4">Lookup!$O$63:$O$68</definedName>
    <definedName name="A.G_TNSP.7">Lookup!$O$83:$O$88</definedName>
    <definedName name="A.G_TNSP.8">Lookup!$O$91:$O$98</definedName>
    <definedName name="A.G_TSNP.5">Lookup!$O$71:$O$76</definedName>
    <definedName name="A.GEN.0">Lookup!$H$38:$H$39</definedName>
    <definedName name="A.GEN.1">Lookup!$H$42:$H$47</definedName>
    <definedName name="A.GEN.2">Lookup!$H$50:$H$54</definedName>
    <definedName name="A.GEN.3">Lookup!$H$57:$H$62</definedName>
    <definedName name="A.GEN.4">Lookup!$H$65:$H$70</definedName>
    <definedName name="A.GEN.5">Lookup!$H$73:$H$74</definedName>
    <definedName name="A.GEN.6">Lookup!$H$77:$H$78</definedName>
    <definedName name="A.GEN.6.1">Lookup!$H$81:$H$82</definedName>
    <definedName name="A.GEN.7">Lookup!$H$85:$H$86</definedName>
    <definedName name="A.GEN.8">Lookup!$H$89:$H$90</definedName>
    <definedName name="A.GEN.9">Lookup!$H$93:$H$99</definedName>
    <definedName name="A.GTNSP.6">Lookup!$O$79:$O$80</definedName>
    <definedName name="A.IC.0">Lookup!$D$41:$D$42</definedName>
    <definedName name="A.IC.1">Lookup!$D$45:$D$49</definedName>
    <definedName name="A.IC.2">Lookup!$D$52:$D$53</definedName>
    <definedName name="A.IC.3">Lookup!$D$56:$D$62</definedName>
    <definedName name="A.L_EXTR.0">Lookup!$W$3:$W$4</definedName>
    <definedName name="A.L_EXTR.1">Lookup!$W$7:$W$12</definedName>
    <definedName name="A.L_RFIN.0">Lookup!$AA$3:$AA$4</definedName>
    <definedName name="A.L_RFIN.1">Lookup!$AA$7:$AA$10</definedName>
    <definedName name="A.L_RFIN.2">Lookup!$AA$13:$AA$17</definedName>
    <definedName name="A.L_RFIN.3">Lookup!$AA$20:$AA$27</definedName>
    <definedName name="A.L_STOR.0">Lookup!$W$52:$W$53</definedName>
    <definedName name="A.L_STOR.1">Lookup!$W$56:$W$61</definedName>
    <definedName name="A.L_STOR.2">Lookup!$W$64:$W$69</definedName>
    <definedName name="A.L_STOR.3">Lookup!$W$72:$W$76</definedName>
    <definedName name="A.L_STOR.4">Lookup!$W$79:$W$80</definedName>
    <definedName name="A.L_STOR.5">Lookup!$W$83:$W$91</definedName>
    <definedName name="A.L_TRAN.0">Lookup!$W$15:$W$16</definedName>
    <definedName name="A.L_TRAN.1">Lookup!$W$19:$W$24</definedName>
    <definedName name="A.L_TRAN.2">Lookup!$W$27:$W$32</definedName>
    <definedName name="A.L_TRAN.3">Lookup!$W$35:$W$39</definedName>
    <definedName name="A.L_TRAN.4">Lookup!$W$42:$W$49</definedName>
    <definedName name="A.L_WHLS.0">Lookup!$AA$30:$AA$31</definedName>
    <definedName name="A.L_WHLS.1">Lookup!$AA$34:$AA$39</definedName>
    <definedName name="A.L_WHLS.2">Lookup!$AA$42:$AA$47</definedName>
    <definedName name="A.L_WHLS.3">Lookup!$AA$50:$AA$51</definedName>
    <definedName name="A.L_WHLS.3.1">Lookup!$AA$54:$AA$55</definedName>
    <definedName name="A.L_WHLS.3.2">Lookup!$AA$58:$AA$59</definedName>
    <definedName name="A.L_WHLS.3.3">Lookup!$AA$62:$AA$63</definedName>
    <definedName name="A.L_WHLS.3.4">Lookup!$AA$66:$AA$67</definedName>
    <definedName name="A.L_WHLS.4">Lookup!$AA$70:$AA$77</definedName>
    <definedName name="A.OPS.0">Lookup!$H$102:$H$103</definedName>
    <definedName name="A.RET.0">Lookup!$D$65:$D$66</definedName>
    <definedName name="A.RET.1">Lookup!$D$69:$D$73</definedName>
    <definedName name="A.RET.2">Lookup!$D$76:$D$80</definedName>
    <definedName name="A.RET.3">Lookup!$D$83:$D$87</definedName>
    <definedName name="A.RET.4">Lookup!$D$90:$D$91</definedName>
    <definedName name="A.RET.5">Lookup!$D$94:$D$95</definedName>
    <definedName name="A.RET.6">Lookup!$D$98:$D$99</definedName>
    <definedName name="A.RET.7">Lookup!$D$102:$D$108</definedName>
    <definedName name="A.TNSP.0">Lookup!$D$14:$D$15</definedName>
    <definedName name="A.TNSP.1">Lookup!$D$18:$D$22</definedName>
    <definedName name="A.TNSP.2">Lookup!$D$25:$D$29</definedName>
    <definedName name="A.TNSP.3">Lookup!$D$32:$D$38</definedName>
    <definedName name="ACM">ACM!$A$8:$J$106</definedName>
    <definedName name="AntiPattern">Lookup!$B$3:$B$11</definedName>
    <definedName name="APM">APM!$A$8:$J$91</definedName>
    <definedName name="CAT">'E-CAT'!$A$12:$H$180</definedName>
    <definedName name="CPM">CPM!$A$8:$J$146</definedName>
    <definedName name="Criticality_Bands">Lookup!$J$20:$K$22</definedName>
    <definedName name="EDM">EDM!$A$8:$J$111</definedName>
    <definedName name="G_CAT">'G-CAT'!$A$12:$H$165</definedName>
    <definedName name="IAM">IAM!$A$8:$J$141</definedName>
    <definedName name="IR" localSheetId="1">'E-CAT'!$A$12:$I$15</definedName>
    <definedName name="IR">IR!$A$8:$J$236</definedName>
    <definedName name="ISC">ISC!$A$8:$J$66</definedName>
    <definedName name="L_CAT">'L-CAT'!$A$12:$I$131</definedName>
    <definedName name="Overall_Criticality_Level">Aggregate!$AH$10</definedName>
    <definedName name="Overall_G_CAT_Level">Aggregate!$AH$45</definedName>
    <definedName name="Overall_L_CAT_Level">Aggregate!$AH$76</definedName>
    <definedName name="Overall_Maturity_Achieved">Aggregate!$J$25</definedName>
    <definedName name="Overall_Maturity_Score">Aggregate!$J$22</definedName>
    <definedName name="R.DNSP.0">Lookup!$F$3:$F$4</definedName>
    <definedName name="R.DNSP.1">Lookup!$F$7:$F$12</definedName>
    <definedName name="R.DNSP.2">Lookup!$F$15:$F$19</definedName>
    <definedName name="R.DNSP.3">Lookup!$F$22:$F$26</definedName>
    <definedName name="R.DNSP.4">Lookup!$F$29:$F$35</definedName>
    <definedName name="R.G_DNSP.0">Lookup!$Q$3:$Q$4</definedName>
    <definedName name="R.G_DNSP.1">Lookup!$Q$7:$Q$12</definedName>
    <definedName name="R.G_DNSP.2">Lookup!$Q$15:$Q$20</definedName>
    <definedName name="R.G_DNSP.3">Lookup!$Q$23:$Q$24</definedName>
    <definedName name="R.G_DNSP.4">Lookup!$Q$27:$Q$31</definedName>
    <definedName name="R.G_DNSP.5">Lookup!$Q$34:$Q$41</definedName>
    <definedName name="R.G_OPS.0">Lookup!$Q$73:$Q$74</definedName>
    <definedName name="R.G_OPS.1">Lookup!$Q$77:$Q$84</definedName>
    <definedName name="R.G_PROD.0">Lookup!$M$3:$M$4</definedName>
    <definedName name="R.G_PROD.1">Lookup!$M$7:$M$12</definedName>
    <definedName name="R.G_PROD.2">Lookup!$M$15:$M$16</definedName>
    <definedName name="R.G_PROD.2.1">Lookup!$M$19:$M$24</definedName>
    <definedName name="R.G_PROD.3">Lookup!$M$27:$M$34</definedName>
    <definedName name="R.G_RET.0">Lookup!$Q$44:$Q$45</definedName>
    <definedName name="R.G_RET.1">Lookup!$Q$48:$Q$53</definedName>
    <definedName name="R.G_RET.2">Lookup!$Q$56:$Q$60</definedName>
    <definedName name="R.G_RET.3">Lookup!$Q$63:$Q$70</definedName>
    <definedName name="R.G_STOR.1">Lookup!$M$105:$M$110</definedName>
    <definedName name="R.G_STOR.2">Lookup!$M$113:$M$118</definedName>
    <definedName name="R.G_STOR.3">Lookup!$M$121:$M$128</definedName>
    <definedName name="R.G_TNSP.0">Lookup!$M$37:$M$38</definedName>
    <definedName name="R.G_TNSP.1">Lookup!$M$41:$M$46</definedName>
    <definedName name="R.G_TNSP.2">Lookup!$M$49:$M$53</definedName>
    <definedName name="R.G_TNSP.3">Lookup!$M$56:$M$60</definedName>
    <definedName name="R.G_TNSP.4">Lookup!$M$63:$M$68</definedName>
    <definedName name="R.G_TNSP.5">Lookup!$M$71:$M$76</definedName>
    <definedName name="R.G_TNSP.6">Lookup!$M$79:$M$80</definedName>
    <definedName name="R.G_TNSP.7">Lookup!$M$83:$M$88</definedName>
    <definedName name="R.G_TNSP.8">Lookup!$M$91:$M$98</definedName>
    <definedName name="R.G_TRAN.0">Lookup!$M$101:$M$102</definedName>
    <definedName name="R.GEN.0">Lookup!$F$38:$F$39</definedName>
    <definedName name="R.GEN.1">Lookup!$F$42:$F$47</definedName>
    <definedName name="R.GEN.2">Lookup!$F$50:$F$54</definedName>
    <definedName name="R.GEN.3">Lookup!$F$57:$F$62</definedName>
    <definedName name="R.GEN.4">Lookup!$F$65:$F$70</definedName>
    <definedName name="R.GEN.5">Lookup!$F$73:$F$74</definedName>
    <definedName name="R.GEN.6">Lookup!$F$77:$F$78</definedName>
    <definedName name="R.GEN.6.1">Lookup!$F$81:$F$82</definedName>
    <definedName name="R.GEN.7">Lookup!$F$85:$F$86</definedName>
    <definedName name="R.GEN.8">Lookup!$F$89:$F$90</definedName>
    <definedName name="R.GEN.9">Lookup!$F$93:$F$99</definedName>
    <definedName name="R.IC.0">Lookup!$B$41:$B$42</definedName>
    <definedName name="R.IC.1">Lookup!$B$45:$B$49</definedName>
    <definedName name="R.IC.2">Lookup!$B$52:$B$53</definedName>
    <definedName name="R.IC.3">Lookup!$B$56:$B$62</definedName>
    <definedName name="R.L_EXTR.0">Lookup!$U$3:$U$4</definedName>
    <definedName name="R.L_EXTR.1">Lookup!$U$7:$U$12</definedName>
    <definedName name="R.L_RFIN.0">Lookup!$Y$3:$Y$4</definedName>
    <definedName name="R.L_RFIN.1">Lookup!$Y$7:$Y$10</definedName>
    <definedName name="R.L_RFIN.2">Lookup!$Y$13:$Y$17</definedName>
    <definedName name="R.L_RFIN.3">Lookup!$Y$20:$Y$27</definedName>
    <definedName name="R.L_STOR.0">Lookup!$U$52:$U$53</definedName>
    <definedName name="R.L_STOR.1">Lookup!$U$56:$U$61</definedName>
    <definedName name="R.L_STOR.2">Lookup!$U$64:$U$69</definedName>
    <definedName name="R.L_STOR.3">Lookup!$U$72:$U$76</definedName>
    <definedName name="R.L_STOR.4">Lookup!$U$79:$U$80</definedName>
    <definedName name="R.L_STOR.5">Lookup!$U$83:$U$91</definedName>
    <definedName name="R.L_TRAN.0">Lookup!$U$15:$U$16</definedName>
    <definedName name="R.L_TRAN.1">Lookup!$U$19:$U$24</definedName>
    <definedName name="R.L_TRAN.2">Lookup!$U$27:$U$32</definedName>
    <definedName name="R.L_TRAN.3">Lookup!$U$35:$U$39</definedName>
    <definedName name="R.L_TRAN.4">Lookup!$U$42:$U$49</definedName>
    <definedName name="R.L_WHLS.0">Lookup!$Y$30:$Y$31</definedName>
    <definedName name="R.L_WHLS.1">Lookup!$Y$34:$Y$39</definedName>
    <definedName name="R.L_WHLS.2">Lookup!$Y$42:$Y$47</definedName>
    <definedName name="R.L_WHLS.3">Lookup!$Y$50:$Y$51</definedName>
    <definedName name="R.L_WHLS.3.1">Lookup!$Y$54:$Y$55</definedName>
    <definedName name="R.L_WHLS.3.2">Lookup!$Y$58:$Y$59</definedName>
    <definedName name="R.L_WHLS.3.3">Lookup!$Y$62:$Y$63</definedName>
    <definedName name="R.L_WHLS.3.4">Lookup!$Y$66:$Y$67</definedName>
    <definedName name="R.L_WHLS.4">Lookup!$Y$70:$Y$77</definedName>
    <definedName name="R.OPS.0">Lookup!$F$102:$F$103</definedName>
    <definedName name="R.RET.0">Lookup!$B$65:$B$66</definedName>
    <definedName name="R.RET.1">Lookup!$B$69:$B$73</definedName>
    <definedName name="R.RET.2">Lookup!$B$76:$B$80</definedName>
    <definedName name="R.RET.3">Lookup!$B$83:$B$87</definedName>
    <definedName name="R.RET.4">Lookup!$B$90:$B$91</definedName>
    <definedName name="R.RET.5">Lookup!$B$94:$B$95</definedName>
    <definedName name="R.RET.6">Lookup!$B$98:$B$99</definedName>
    <definedName name="R.RET.7">Lookup!$B$102:$B$108</definedName>
    <definedName name="R.TNSP.0">Lookup!$B$14:$B$15</definedName>
    <definedName name="R.TNSP.1">Lookup!$B$18:$B$22</definedName>
    <definedName name="R.TNSP.2">Lookup!$B$25:$B$29</definedName>
    <definedName name="R.TNSP.3">Lookup!$B$32:$B$38</definedName>
    <definedName name="Response_MIL1">Lookup!$D$3:$D$4</definedName>
    <definedName name="Response_MIL23">Lookup!$D$7:$D$10</definedName>
    <definedName name="RM">RM!$A$8:$J$101</definedName>
    <definedName name="SA">SA!$A$8:$J$171</definedName>
    <definedName name="Score">Lookup!$J$3:$K$17</definedName>
    <definedName name="Security_Profile_Achieved">Aggregate!$J$31</definedName>
    <definedName name="Security_Profile_Score">Aggregate!$J$28</definedName>
    <definedName name="TVM">TVM!$A$8:$J$141</definedName>
    <definedName name="WM">WM!$A$8:$J$166</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70" i="16" l="1"/>
  <c r="AD71" i="16"/>
  <c r="AD72" i="16"/>
  <c r="AD73" i="16"/>
  <c r="AD74" i="16"/>
  <c r="AD75" i="16"/>
  <c r="AD76" i="16"/>
  <c r="AD77" i="16"/>
  <c r="AD78" i="16"/>
  <c r="AD79" i="16"/>
  <c r="AD80" i="16"/>
  <c r="AD81" i="16"/>
  <c r="AD82" i="16"/>
  <c r="AD83" i="16"/>
  <c r="AD84" i="16"/>
  <c r="AD85" i="16"/>
  <c r="AD86" i="16"/>
  <c r="AD87" i="16"/>
  <c r="AD88" i="16"/>
  <c r="AD89" i="16"/>
  <c r="AD90" i="16"/>
  <c r="AD91" i="16"/>
  <c r="AD92" i="16"/>
  <c r="AD93" i="16"/>
  <c r="AD94" i="16"/>
  <c r="AD69" i="16"/>
  <c r="AA53" i="46"/>
  <c r="AA65" i="46"/>
  <c r="AA61" i="46"/>
  <c r="AA57" i="46"/>
  <c r="AA49" i="46"/>
  <c r="AA8" i="46"/>
  <c r="AA15" i="46"/>
  <c r="AA14" i="46"/>
  <c r="AA69" i="46"/>
  <c r="AA45" i="46"/>
  <c r="AA44" i="46"/>
  <c r="AA43" i="46"/>
  <c r="AA41" i="46"/>
  <c r="AA37" i="46"/>
  <c r="AA36" i="46"/>
  <c r="AA35" i="46"/>
  <c r="AA33" i="46"/>
  <c r="AA29" i="46"/>
  <c r="AA19" i="46"/>
  <c r="AA12" i="46"/>
  <c r="AA6" i="46"/>
  <c r="AA2" i="46"/>
  <c r="W78" i="46"/>
  <c r="W74" i="46"/>
  <c r="W73" i="46"/>
  <c r="W71" i="46"/>
  <c r="W67" i="46"/>
  <c r="W66" i="46"/>
  <c r="W65" i="46"/>
  <c r="W63" i="46"/>
  <c r="W59" i="46"/>
  <c r="W58" i="46"/>
  <c r="W57" i="46"/>
  <c r="W55" i="46"/>
  <c r="W22" i="46"/>
  <c r="W21" i="46"/>
  <c r="W20" i="46"/>
  <c r="W82" i="46"/>
  <c r="W51" i="46"/>
  <c r="W41" i="46"/>
  <c r="W34" i="46"/>
  <c r="W26" i="46"/>
  <c r="W18" i="46"/>
  <c r="W14" i="46"/>
  <c r="W6" i="46"/>
  <c r="W2" i="46"/>
  <c r="W37" i="46"/>
  <c r="W36" i="46"/>
  <c r="W30" i="46"/>
  <c r="W29" i="46"/>
  <c r="W28" i="46"/>
  <c r="W10" i="46"/>
  <c r="W9" i="46"/>
  <c r="W8" i="46"/>
  <c r="AD37" i="16"/>
  <c r="AD38" i="16"/>
  <c r="AD39" i="16"/>
  <c r="AD40" i="16"/>
  <c r="AD41" i="16"/>
  <c r="AD42" i="16"/>
  <c r="AD43" i="16"/>
  <c r="AD44" i="16"/>
  <c r="AD45" i="16"/>
  <c r="AD46" i="16"/>
  <c r="AD47" i="16"/>
  <c r="AD48" i="16"/>
  <c r="AD49" i="16"/>
  <c r="AD50" i="16"/>
  <c r="AD51" i="16"/>
  <c r="AD52" i="16"/>
  <c r="AD53" i="16"/>
  <c r="AD54" i="16"/>
  <c r="AD55" i="16"/>
  <c r="AD56" i="16"/>
  <c r="AD57" i="16"/>
  <c r="AD58" i="16"/>
  <c r="AD59" i="16"/>
  <c r="AD60" i="16"/>
  <c r="AD61" i="16"/>
  <c r="AD62" i="16"/>
  <c r="AD63" i="16"/>
  <c r="AD64" i="16"/>
  <c r="AD65" i="16"/>
  <c r="AD66" i="16"/>
  <c r="S58" i="46"/>
  <c r="S57" i="46"/>
  <c r="S51" i="46"/>
  <c r="S50" i="46"/>
  <c r="S49" i="46"/>
  <c r="S29" i="46"/>
  <c r="S28" i="46"/>
  <c r="S18" i="46"/>
  <c r="S17" i="46"/>
  <c r="S16" i="46"/>
  <c r="S10" i="46"/>
  <c r="S9" i="46"/>
  <c r="S8" i="46"/>
  <c r="O116" i="46"/>
  <c r="O115" i="46"/>
  <c r="O114" i="46"/>
  <c r="O108" i="46"/>
  <c r="O107" i="46"/>
  <c r="O106" i="46"/>
  <c r="O86" i="46"/>
  <c r="O85" i="46"/>
  <c r="O84" i="46"/>
  <c r="O74" i="46"/>
  <c r="O73" i="46"/>
  <c r="O72" i="46"/>
  <c r="O66" i="46"/>
  <c r="O65" i="46"/>
  <c r="O64" i="46"/>
  <c r="O58" i="46"/>
  <c r="O57" i="46"/>
  <c r="O51" i="46"/>
  <c r="O50" i="46"/>
  <c r="O44" i="46"/>
  <c r="O43" i="46"/>
  <c r="O42" i="46"/>
  <c r="O22" i="46"/>
  <c r="O21" i="46"/>
  <c r="O20" i="46"/>
  <c r="O10" i="46"/>
  <c r="O9" i="46"/>
  <c r="O8" i="46"/>
  <c r="H68" i="46"/>
  <c r="H67" i="46"/>
  <c r="H66" i="46"/>
  <c r="H60" i="46"/>
  <c r="H59" i="46"/>
  <c r="H58" i="46"/>
  <c r="H45" i="46"/>
  <c r="H44" i="46"/>
  <c r="H43" i="46"/>
  <c r="H10" i="46"/>
  <c r="H9" i="46"/>
  <c r="H8" i="46"/>
  <c r="D28" i="46"/>
  <c r="D27" i="46"/>
  <c r="D26" i="46"/>
  <c r="J22" i="46"/>
  <c r="J21" i="46"/>
  <c r="D19" i="46"/>
  <c r="AE70" i="16" a="1"/>
  <c r="AE40" i="16" a="1"/>
  <c r="AE80" i="16" a="1"/>
  <c r="AE69" i="16" a="1"/>
  <c r="AE78" i="16" a="1"/>
  <c r="AE60" i="16" a="1"/>
  <c r="AE89" i="16" a="1"/>
  <c r="AE71" i="16" a="1"/>
  <c r="AE50" i="16" a="1"/>
  <c r="AE86" i="16" a="1"/>
  <c r="AE53" i="16" a="1"/>
  <c r="AE79" i="16" a="1"/>
  <c r="AE94" i="16" a="1"/>
  <c r="AE41" i="16" a="1"/>
  <c r="AE64" i="16" a="1"/>
  <c r="AE75" i="16" a="1"/>
  <c r="AE37" i="16" a="1"/>
  <c r="AE39" i="16" a="1"/>
  <c r="AE82" i="16" a="1"/>
  <c r="AE77" i="16" a="1"/>
  <c r="AE83" i="16" a="1"/>
  <c r="AE52" i="16" a="1"/>
  <c r="AE73" i="16" a="1"/>
  <c r="AE55" i="16" a="1"/>
  <c r="AE85" i="16" a="1"/>
  <c r="AE72" i="16" a="1"/>
  <c r="AE58" i="16" a="1"/>
  <c r="AE42" i="16" a="1"/>
  <c r="AE38" i="16" a="1"/>
  <c r="AE87" i="16" a="1"/>
  <c r="AE63" i="16" a="1"/>
  <c r="AE56" i="16" a="1"/>
  <c r="AE44" i="16" a="1"/>
  <c r="AE45" i="16" a="1"/>
  <c r="AE62" i="16" a="1"/>
  <c r="AE47" i="16" a="1"/>
  <c r="AE74" i="16" a="1"/>
  <c r="AE54" i="16" a="1"/>
  <c r="AE91" i="16" a="1"/>
  <c r="AE81" i="16" a="1"/>
  <c r="AE61" i="16" a="1"/>
  <c r="AE46" i="16" a="1"/>
  <c r="AE88" i="16" a="1"/>
  <c r="AE90" i="16" a="1"/>
  <c r="AE66" i="16" a="1"/>
  <c r="AE93" i="16" a="1"/>
  <c r="AE48" i="16" a="1"/>
  <c r="AE57" i="16" a="1"/>
  <c r="AE65" i="16" a="1"/>
  <c r="AE76" i="16" a="1"/>
  <c r="AE51" i="16" a="1"/>
  <c r="AE49" i="16" a="1"/>
  <c r="AE84" i="16" a="1"/>
  <c r="AE43" i="16" a="1"/>
  <c r="AE92" i="16" a="1"/>
  <c r="AE59" i="16" a="1"/>
  <c r="AE69" i="16" l="1"/>
  <c r="AF69" i="16" s="1"/>
  <c r="AE89" i="16"/>
  <c r="AF89" i="16" s="1"/>
  <c r="AE90" i="16"/>
  <c r="AF90" i="16" s="1"/>
  <c r="AE91" i="16"/>
  <c r="AF91" i="16" s="1"/>
  <c r="AE94" i="16"/>
  <c r="AF94" i="16" s="1"/>
  <c r="AE92" i="16"/>
  <c r="AF92" i="16" s="1"/>
  <c r="AE93" i="16"/>
  <c r="AF93" i="16" s="1"/>
  <c r="AE82" i="16"/>
  <c r="AF82" i="16" s="1"/>
  <c r="AE84" i="16"/>
  <c r="AF84" i="16" s="1"/>
  <c r="AE85" i="16"/>
  <c r="AF85" i="16" s="1"/>
  <c r="AE76" i="16"/>
  <c r="AF76" i="16" s="1"/>
  <c r="AE70" i="16"/>
  <c r="AF70" i="16" s="1"/>
  <c r="AE78" i="16"/>
  <c r="AF78" i="16" s="1"/>
  <c r="AE86" i="16"/>
  <c r="AF86" i="16" s="1"/>
  <c r="AE83" i="16"/>
  <c r="AF83" i="16" s="1"/>
  <c r="AE79" i="16"/>
  <c r="AF79" i="16" s="1"/>
  <c r="AE72" i="16"/>
  <c r="AF72" i="16" s="1"/>
  <c r="AE80" i="16"/>
  <c r="AF80" i="16" s="1"/>
  <c r="AE88" i="16"/>
  <c r="AF88" i="16" s="1"/>
  <c r="AE71" i="16"/>
  <c r="AF71" i="16" s="1"/>
  <c r="AE87" i="16"/>
  <c r="AF87" i="16" s="1"/>
  <c r="AE81" i="16"/>
  <c r="AF81" i="16" s="1"/>
  <c r="AE75" i="16"/>
  <c r="AF75" i="16" s="1"/>
  <c r="AE74" i="16"/>
  <c r="AF74" i="16" s="1"/>
  <c r="AE73" i="16"/>
  <c r="AF73" i="16" s="1"/>
  <c r="AE77" i="16"/>
  <c r="AF77" i="16" s="1"/>
  <c r="AE44" i="16"/>
  <c r="AF44" i="16" s="1"/>
  <c r="AE52" i="16"/>
  <c r="AF52" i="16" s="1"/>
  <c r="AE57" i="16"/>
  <c r="AF57" i="16" s="1"/>
  <c r="AE39" i="16"/>
  <c r="AF39" i="16" s="1"/>
  <c r="AE43" i="16"/>
  <c r="AF43" i="16" s="1"/>
  <c r="AE42" i="16"/>
  <c r="AF42" i="16" s="1"/>
  <c r="AE41" i="16"/>
  <c r="AF41" i="16" s="1"/>
  <c r="AE64" i="16"/>
  <c r="AF64" i="16" s="1"/>
  <c r="AE47" i="16"/>
  <c r="AF47" i="16" s="1"/>
  <c r="AE60" i="16"/>
  <c r="AF60" i="16" s="1"/>
  <c r="AE66" i="16"/>
  <c r="AF66" i="16" s="1"/>
  <c r="AE56" i="16"/>
  <c r="AF56" i="16" s="1"/>
  <c r="AE62" i="16"/>
  <c r="AF62" i="16" s="1"/>
  <c r="AE54" i="16"/>
  <c r="AF54" i="16" s="1"/>
  <c r="AE38" i="16"/>
  <c r="AF38" i="16" s="1"/>
  <c r="AE59" i="16"/>
  <c r="AF59" i="16" s="1"/>
  <c r="AE58" i="16"/>
  <c r="AF58" i="16" s="1"/>
  <c r="AE49" i="16"/>
  <c r="AF49" i="16" s="1"/>
  <c r="AE40" i="16"/>
  <c r="AF40" i="16" s="1"/>
  <c r="AE63" i="16"/>
  <c r="AF63" i="16" s="1"/>
  <c r="AE46" i="16"/>
  <c r="AF46" i="16" s="1"/>
  <c r="AE51" i="16"/>
  <c r="AF51" i="16" s="1"/>
  <c r="AE50" i="16"/>
  <c r="AF50" i="16" s="1"/>
  <c r="AE65" i="16"/>
  <c r="AF65" i="16" s="1"/>
  <c r="AE48" i="16"/>
  <c r="AF48" i="16" s="1"/>
  <c r="AE55" i="16"/>
  <c r="AF55" i="16" s="1"/>
  <c r="AE61" i="16"/>
  <c r="AF61" i="16" s="1"/>
  <c r="AE53" i="16"/>
  <c r="AF53" i="16" s="1"/>
  <c r="AE45" i="16"/>
  <c r="AF45" i="16" s="1"/>
  <c r="AE37" i="16"/>
  <c r="AF37" i="16" s="1"/>
  <c r="AD2" i="16"/>
  <c r="AD3" i="16"/>
  <c r="AD4" i="16"/>
  <c r="AD5" i="16"/>
  <c r="AD6" i="16"/>
  <c r="AD7" i="16"/>
  <c r="AD8" i="16"/>
  <c r="AD9" i="16"/>
  <c r="AD10" i="16"/>
  <c r="AD11" i="16"/>
  <c r="AD12" i="16"/>
  <c r="AD13" i="16"/>
  <c r="AD14" i="16"/>
  <c r="AD15" i="16"/>
  <c r="AD16" i="16"/>
  <c r="AD17" i="16"/>
  <c r="AD18" i="16"/>
  <c r="AD19" i="16"/>
  <c r="AD20" i="16"/>
  <c r="AD21" i="16"/>
  <c r="AD22" i="16"/>
  <c r="AD23" i="16"/>
  <c r="AD24" i="16"/>
  <c r="AD25" i="16"/>
  <c r="AD26" i="16"/>
  <c r="AD27" i="16"/>
  <c r="AD28" i="16"/>
  <c r="AD29" i="16"/>
  <c r="AD30" i="16"/>
  <c r="AD31" i="16"/>
  <c r="AD32" i="16"/>
  <c r="AD33" i="16"/>
  <c r="AD34" i="16"/>
  <c r="AE34" i="16" a="1"/>
  <c r="AE19" i="16" a="1"/>
  <c r="AE18" i="16" a="1"/>
  <c r="AE11" i="16" a="1"/>
  <c r="AE23" i="16" a="1"/>
  <c r="AE4" i="16" a="1"/>
  <c r="AE6" i="16" a="1"/>
  <c r="AE3" i="16" a="1"/>
  <c r="AE28" i="16" a="1"/>
  <c r="AE15" i="16" a="1"/>
  <c r="AE22" i="16" a="1"/>
  <c r="AE31" i="16" a="1"/>
  <c r="AE27" i="16" a="1"/>
  <c r="AE2" i="16" a="1"/>
  <c r="AE30" i="16" a="1"/>
  <c r="AE5" i="16" a="1"/>
  <c r="AE20" i="16" a="1"/>
  <c r="AE12" i="16" a="1"/>
  <c r="AE7" i="16" a="1"/>
  <c r="AE10" i="16" a="1"/>
  <c r="AE14" i="16" a="1"/>
  <c r="AE26" i="16" a="1"/>
  <c r="AE13" i="16" a="1"/>
  <c r="AE21" i="16" a="1"/>
  <c r="AE16" i="16" a="1"/>
  <c r="AE32" i="16" a="1"/>
  <c r="AE25" i="16" a="1"/>
  <c r="AE29" i="16" a="1"/>
  <c r="AE9" i="16" a="1"/>
  <c r="AE24" i="16" a="1"/>
  <c r="AE33" i="16" a="1"/>
  <c r="AE8" i="16" a="1"/>
  <c r="AE17" i="16" a="1"/>
  <c r="AI71" i="16" l="1"/>
  <c r="AI72" i="16"/>
  <c r="AI73" i="16"/>
  <c r="AI69" i="16"/>
  <c r="AI70" i="16"/>
  <c r="AI42" i="16"/>
  <c r="AI41" i="16"/>
  <c r="AI40" i="16"/>
  <c r="AI37" i="16"/>
  <c r="AI39" i="16"/>
  <c r="AI38" i="16"/>
  <c r="AE3" i="16"/>
  <c r="AF3" i="16" s="1"/>
  <c r="AE15" i="16"/>
  <c r="AF15" i="16" s="1"/>
  <c r="AE13" i="16"/>
  <c r="AF13" i="16" s="1"/>
  <c r="AE24" i="16"/>
  <c r="AF24" i="16" s="1"/>
  <c r="AE12" i="16"/>
  <c r="AF12" i="16" s="1"/>
  <c r="AE16" i="16"/>
  <c r="AF16" i="16" s="1"/>
  <c r="AE2" i="16"/>
  <c r="AF2" i="16" s="1"/>
  <c r="AE25" i="16"/>
  <c r="AF25" i="16" s="1"/>
  <c r="AE23" i="16"/>
  <c r="AF23" i="16" s="1"/>
  <c r="AE11" i="16"/>
  <c r="AF11" i="16" s="1"/>
  <c r="AE14" i="16"/>
  <c r="AF14" i="16" s="1"/>
  <c r="AE34" i="16"/>
  <c r="AF34" i="16" s="1"/>
  <c r="AI7" i="16" s="1"/>
  <c r="AE22" i="16"/>
  <c r="AF22" i="16" s="1"/>
  <c r="AE10" i="16"/>
  <c r="AF10" i="16" s="1"/>
  <c r="AE27" i="16"/>
  <c r="AF27" i="16" s="1"/>
  <c r="AE4" i="16"/>
  <c r="AF4" i="16" s="1"/>
  <c r="AE9" i="16"/>
  <c r="AF9" i="16" s="1"/>
  <c r="AE32" i="16"/>
  <c r="AF32" i="16" s="1"/>
  <c r="AE20" i="16"/>
  <c r="AF20" i="16" s="1"/>
  <c r="AE8" i="16"/>
  <c r="AF8" i="16" s="1"/>
  <c r="AE28" i="16"/>
  <c r="AF28" i="16" s="1"/>
  <c r="AE21" i="16"/>
  <c r="AF21" i="16" s="1"/>
  <c r="AE31" i="16"/>
  <c r="AF31" i="16" s="1"/>
  <c r="AE19" i="16"/>
  <c r="AF19" i="16" s="1"/>
  <c r="AE7" i="16"/>
  <c r="AF7" i="16" s="1"/>
  <c r="AE33" i="16"/>
  <c r="AF33" i="16" s="1"/>
  <c r="AE30" i="16"/>
  <c r="AF30" i="16" s="1"/>
  <c r="AE18" i="16"/>
  <c r="AF18" i="16" s="1"/>
  <c r="AE6" i="16"/>
  <c r="AF6" i="16" s="1"/>
  <c r="AE26" i="16"/>
  <c r="AF26" i="16" s="1"/>
  <c r="AE29" i="16"/>
  <c r="AF29" i="16" s="1"/>
  <c r="AE17" i="16"/>
  <c r="AF17" i="16" s="1"/>
  <c r="AE5" i="16"/>
  <c r="AF5" i="16" s="1"/>
  <c r="AH76" i="16" l="1"/>
  <c r="AH45" i="16"/>
  <c r="AI2" i="16"/>
  <c r="AI5" i="16"/>
  <c r="AI3" i="16"/>
  <c r="AI4" i="16"/>
  <c r="AI6" i="16"/>
  <c r="L2" i="16"/>
  <c r="R2" i="16"/>
  <c r="L3" i="16"/>
  <c r="P3" i="16"/>
  <c r="R3" i="16"/>
  <c r="V3" i="16"/>
  <c r="L4" i="16"/>
  <c r="P4" i="16"/>
  <c r="R4" i="16"/>
  <c r="V4" i="16"/>
  <c r="L5" i="16"/>
  <c r="N5" i="16"/>
  <c r="P5" i="16"/>
  <c r="R5" i="16"/>
  <c r="T5" i="16"/>
  <c r="V5" i="16"/>
  <c r="L7" i="16"/>
  <c r="R7" i="16"/>
  <c r="L8" i="16"/>
  <c r="N8" i="16"/>
  <c r="P8" i="16"/>
  <c r="R8" i="16"/>
  <c r="T8" i="16"/>
  <c r="V8" i="16"/>
  <c r="L9" i="16"/>
  <c r="R9" i="16"/>
  <c r="P11" i="16"/>
  <c r="V11" i="16"/>
  <c r="L12" i="16"/>
  <c r="N12" i="16"/>
  <c r="R12" i="16"/>
  <c r="T12" i="16"/>
  <c r="F4" i="69" l="1"/>
  <c r="AH10" i="16"/>
  <c r="F4" i="68" s="1"/>
  <c r="G23" i="16"/>
  <c r="G24" i="16"/>
  <c r="G25" i="16"/>
  <c r="G26" i="16"/>
  <c r="H26" i="16" s="1"/>
  <c r="G27" i="16"/>
  <c r="H27" i="16" s="1"/>
  <c r="G28" i="16"/>
  <c r="G29" i="16"/>
  <c r="G30" i="16"/>
  <c r="G31" i="16"/>
  <c r="G32" i="16"/>
  <c r="G33" i="16"/>
  <c r="G34" i="16"/>
  <c r="G35" i="16"/>
  <c r="H35" i="16" s="1"/>
  <c r="G36" i="16"/>
  <c r="H36" i="16" s="1"/>
  <c r="G37" i="16"/>
  <c r="H37" i="16" s="1"/>
  <c r="G22" i="16"/>
  <c r="G253" i="16"/>
  <c r="G254" i="16"/>
  <c r="G255" i="16"/>
  <c r="G256" i="16"/>
  <c r="G257" i="16"/>
  <c r="G258" i="16"/>
  <c r="G252" i="16"/>
  <c r="G226" i="16"/>
  <c r="G227" i="16"/>
  <c r="G228" i="16"/>
  <c r="G229" i="16"/>
  <c r="G230" i="16"/>
  <c r="G231" i="16"/>
  <c r="G232" i="16"/>
  <c r="G233" i="16"/>
  <c r="G234" i="16"/>
  <c r="G225" i="16"/>
  <c r="G193" i="16"/>
  <c r="G194" i="16"/>
  <c r="G195" i="16"/>
  <c r="G196" i="16"/>
  <c r="G192" i="16"/>
  <c r="G174" i="16"/>
  <c r="G175" i="16"/>
  <c r="G176" i="16"/>
  <c r="G177" i="16"/>
  <c r="G173" i="16"/>
  <c r="G162" i="16"/>
  <c r="G163" i="16"/>
  <c r="G164" i="16"/>
  <c r="G165" i="16"/>
  <c r="G166" i="16"/>
  <c r="G167" i="16"/>
  <c r="G168" i="16"/>
  <c r="G169" i="16"/>
  <c r="G170" i="16"/>
  <c r="G171" i="16"/>
  <c r="G172" i="16"/>
  <c r="G161" i="16"/>
  <c r="G116" i="16"/>
  <c r="G117" i="16"/>
  <c r="G118" i="16"/>
  <c r="G119" i="16"/>
  <c r="G120" i="16"/>
  <c r="G121" i="16"/>
  <c r="G122" i="16"/>
  <c r="G115" i="16"/>
  <c r="G89" i="16"/>
  <c r="G90" i="16"/>
  <c r="G91" i="16"/>
  <c r="G92" i="16"/>
  <c r="G93" i="16"/>
  <c r="G94" i="16"/>
  <c r="G88" i="16"/>
  <c r="G68" i="16"/>
  <c r="G69" i="16"/>
  <c r="G70" i="16"/>
  <c r="G71" i="16"/>
  <c r="G72" i="16"/>
  <c r="G73" i="16"/>
  <c r="G67" i="16"/>
  <c r="G40" i="16"/>
  <c r="G41" i="16"/>
  <c r="G42" i="16"/>
  <c r="G43" i="16"/>
  <c r="G44" i="16"/>
  <c r="G45" i="16"/>
  <c r="G39" i="16"/>
  <c r="G3" i="16"/>
  <c r="G4" i="16"/>
  <c r="G5" i="16"/>
  <c r="G6" i="16"/>
  <c r="G7" i="16"/>
  <c r="G2" i="16"/>
  <c r="H23" i="16"/>
  <c r="H24" i="16"/>
  <c r="H25" i="16"/>
  <c r="G38" i="16"/>
  <c r="G260" i="16"/>
  <c r="G85" i="16"/>
  <c r="H28" i="16" l="1"/>
  <c r="H38" i="16"/>
  <c r="N3" i="16" s="1"/>
  <c r="G84" i="16"/>
  <c r="G283" i="16"/>
  <c r="G271" i="16"/>
  <c r="H271" i="16" s="1"/>
  <c r="G259" i="16"/>
  <c r="H259" i="16" s="1"/>
  <c r="G83" i="16"/>
  <c r="G282" i="16"/>
  <c r="H282" i="16" s="1"/>
  <c r="G270" i="16"/>
  <c r="G82" i="16"/>
  <c r="G281" i="16"/>
  <c r="H281" i="16" s="1"/>
  <c r="G269" i="16"/>
  <c r="G81" i="16"/>
  <c r="G280" i="16"/>
  <c r="H280" i="16" s="1"/>
  <c r="G268" i="16"/>
  <c r="H268" i="16" s="1"/>
  <c r="G80" i="16"/>
  <c r="G279" i="16"/>
  <c r="H279" i="16" s="1"/>
  <c r="G267" i="16"/>
  <c r="H267" i="16" s="1"/>
  <c r="G79" i="16"/>
  <c r="G278" i="16"/>
  <c r="G266" i="16"/>
  <c r="H266" i="16" s="1"/>
  <c r="G78" i="16"/>
  <c r="G277" i="16"/>
  <c r="G265" i="16"/>
  <c r="G77" i="16"/>
  <c r="G276" i="16"/>
  <c r="H276" i="16" s="1"/>
  <c r="G264" i="16"/>
  <c r="H264" i="16" s="1"/>
  <c r="G76" i="16"/>
  <c r="G275" i="16"/>
  <c r="H275" i="16" s="1"/>
  <c r="G263" i="16"/>
  <c r="H263" i="16" s="1"/>
  <c r="G87" i="16"/>
  <c r="G75" i="16"/>
  <c r="G274" i="16"/>
  <c r="H274" i="16" s="1"/>
  <c r="G262" i="16"/>
  <c r="G86" i="16"/>
  <c r="G74" i="16"/>
  <c r="G273" i="16"/>
  <c r="H273" i="16" s="1"/>
  <c r="G261" i="16"/>
  <c r="H261" i="16" s="1"/>
  <c r="G272" i="16"/>
  <c r="H272" i="16" s="1"/>
  <c r="H34" i="16"/>
  <c r="H33" i="16"/>
  <c r="H32" i="16"/>
  <c r="H31" i="16"/>
  <c r="H30" i="16"/>
  <c r="H29" i="16"/>
  <c r="H22" i="16"/>
  <c r="Y15" i="65" s="1"/>
  <c r="H260" i="16"/>
  <c r="T3" i="16" l="1"/>
  <c r="H270" i="16"/>
  <c r="H262" i="16"/>
  <c r="Y11" i="65"/>
  <c r="H283" i="16"/>
  <c r="P12" i="16" s="1"/>
  <c r="H269" i="16"/>
  <c r="Q3" i="16"/>
  <c r="K3" i="16"/>
  <c r="O3" i="16"/>
  <c r="G97" i="16"/>
  <c r="G109" i="16"/>
  <c r="G98" i="16"/>
  <c r="G110" i="16"/>
  <c r="G99" i="16"/>
  <c r="G111" i="16"/>
  <c r="G100" i="16"/>
  <c r="G112" i="16"/>
  <c r="G101" i="16"/>
  <c r="G113" i="16"/>
  <c r="G102" i="16"/>
  <c r="G114" i="16"/>
  <c r="G103" i="16"/>
  <c r="G104" i="16"/>
  <c r="G105" i="16"/>
  <c r="G106" i="16"/>
  <c r="G95" i="16"/>
  <c r="G107" i="16"/>
  <c r="G96" i="16"/>
  <c r="G108" i="16"/>
  <c r="H265" i="16"/>
  <c r="H277" i="16"/>
  <c r="G237" i="16"/>
  <c r="G249" i="16"/>
  <c r="G238" i="16"/>
  <c r="G250" i="16"/>
  <c r="G239" i="16"/>
  <c r="G251" i="16"/>
  <c r="G240" i="16"/>
  <c r="G241" i="16"/>
  <c r="G242" i="16"/>
  <c r="G243" i="16"/>
  <c r="G244" i="16"/>
  <c r="G245" i="16"/>
  <c r="G246" i="16"/>
  <c r="G235" i="16"/>
  <c r="G247" i="16"/>
  <c r="G236" i="16"/>
  <c r="G248" i="16"/>
  <c r="G201" i="16"/>
  <c r="G213" i="16"/>
  <c r="G202" i="16"/>
  <c r="G214" i="16"/>
  <c r="G203" i="16"/>
  <c r="G215" i="16"/>
  <c r="G204" i="16"/>
  <c r="G216" i="16"/>
  <c r="G205" i="16"/>
  <c r="G217" i="16"/>
  <c r="G206" i="16"/>
  <c r="G218" i="16"/>
  <c r="G207" i="16"/>
  <c r="G219" i="16"/>
  <c r="G208" i="16"/>
  <c r="G220" i="16"/>
  <c r="G197" i="16"/>
  <c r="G209" i="16"/>
  <c r="G221" i="16"/>
  <c r="G198" i="16"/>
  <c r="G210" i="16"/>
  <c r="G222" i="16"/>
  <c r="G199" i="16"/>
  <c r="G211" i="16"/>
  <c r="G223" i="16"/>
  <c r="G200" i="16"/>
  <c r="G212" i="16"/>
  <c r="G224" i="16"/>
  <c r="G19" i="16"/>
  <c r="G8" i="16"/>
  <c r="G20" i="16"/>
  <c r="G9" i="16"/>
  <c r="G21" i="16"/>
  <c r="G10" i="16"/>
  <c r="G11" i="16"/>
  <c r="G12" i="16"/>
  <c r="G13" i="16"/>
  <c r="G14" i="16"/>
  <c r="G15" i="16"/>
  <c r="G16" i="16"/>
  <c r="G17" i="16"/>
  <c r="G18" i="16"/>
  <c r="G134" i="16"/>
  <c r="G146" i="16"/>
  <c r="G158" i="16"/>
  <c r="G123" i="16"/>
  <c r="G135" i="16"/>
  <c r="G147" i="16"/>
  <c r="G159" i="16"/>
  <c r="G124" i="16"/>
  <c r="G136" i="16"/>
  <c r="G148" i="16"/>
  <c r="G160" i="16"/>
  <c r="G125" i="16"/>
  <c r="G137" i="16"/>
  <c r="G149" i="16"/>
  <c r="G126" i="16"/>
  <c r="G138" i="16"/>
  <c r="G150" i="16"/>
  <c r="G127" i="16"/>
  <c r="G139" i="16"/>
  <c r="G151" i="16"/>
  <c r="G128" i="16"/>
  <c r="G140" i="16"/>
  <c r="G152" i="16"/>
  <c r="G129" i="16"/>
  <c r="G141" i="16"/>
  <c r="G153" i="16"/>
  <c r="G130" i="16"/>
  <c r="G142" i="16"/>
  <c r="G154" i="16"/>
  <c r="G131" i="16"/>
  <c r="G143" i="16"/>
  <c r="G155" i="16"/>
  <c r="G132" i="16"/>
  <c r="G144" i="16"/>
  <c r="G156" i="16"/>
  <c r="G133" i="16"/>
  <c r="G145" i="16"/>
  <c r="G157" i="16"/>
  <c r="H278" i="16"/>
  <c r="G48" i="16"/>
  <c r="G60" i="16"/>
  <c r="G49" i="16"/>
  <c r="G61" i="16"/>
  <c r="G50" i="16"/>
  <c r="G62" i="16"/>
  <c r="G51" i="16"/>
  <c r="G63" i="16"/>
  <c r="G52" i="16"/>
  <c r="G64" i="16"/>
  <c r="G53" i="16"/>
  <c r="G65" i="16"/>
  <c r="G54" i="16"/>
  <c r="G66" i="16"/>
  <c r="G55" i="16"/>
  <c r="G56" i="16"/>
  <c r="G57" i="16"/>
  <c r="G46" i="16"/>
  <c r="G58" i="16"/>
  <c r="G47" i="16"/>
  <c r="G59" i="16"/>
  <c r="S3" i="16"/>
  <c r="M3" i="16"/>
  <c r="Y13" i="65"/>
  <c r="U3" i="16"/>
  <c r="G186" i="16"/>
  <c r="G187" i="16"/>
  <c r="G188" i="16"/>
  <c r="G189" i="16"/>
  <c r="G185" i="16"/>
  <c r="G178" i="16"/>
  <c r="G190" i="16"/>
  <c r="G179" i="16"/>
  <c r="G191" i="16"/>
  <c r="G180" i="16"/>
  <c r="G181" i="16"/>
  <c r="G182" i="16"/>
  <c r="G183" i="16"/>
  <c r="G184" i="16"/>
  <c r="V12" i="16" l="1"/>
  <c r="G23" i="45"/>
  <c r="D85" i="46"/>
  <c r="D78" i="46"/>
  <c r="D71" i="46"/>
  <c r="H52" i="46"/>
  <c r="H24" i="46"/>
  <c r="H17" i="46"/>
  <c r="D47" i="46"/>
  <c r="D20" i="46"/>
  <c r="D84" i="46"/>
  <c r="D77" i="46"/>
  <c r="D70" i="46"/>
  <c r="H51" i="46"/>
  <c r="H23" i="46"/>
  <c r="H16" i="46"/>
  <c r="D46" i="46"/>
  <c r="H258" i="16"/>
  <c r="H257" i="16"/>
  <c r="H256" i="16"/>
  <c r="H255" i="16"/>
  <c r="H254" i="16"/>
  <c r="H253" i="16"/>
  <c r="H252" i="16"/>
  <c r="H251" i="16"/>
  <c r="H250" i="16"/>
  <c r="H249" i="16"/>
  <c r="H248" i="16"/>
  <c r="H247" i="16"/>
  <c r="H246" i="16"/>
  <c r="H245" i="16"/>
  <c r="H244" i="16"/>
  <c r="H243" i="16"/>
  <c r="H242" i="16"/>
  <c r="H241" i="16"/>
  <c r="H240" i="16"/>
  <c r="H239" i="16"/>
  <c r="H238" i="16"/>
  <c r="H237" i="16"/>
  <c r="H236" i="16"/>
  <c r="H235" i="16"/>
  <c r="H234" i="16"/>
  <c r="H233" i="16"/>
  <c r="H232" i="16"/>
  <c r="H231" i="16"/>
  <c r="H230" i="16"/>
  <c r="H229" i="16"/>
  <c r="H228" i="16"/>
  <c r="H227" i="16"/>
  <c r="H226" i="16"/>
  <c r="H225" i="16"/>
  <c r="H224" i="16"/>
  <c r="H223" i="16"/>
  <c r="H222" i="16"/>
  <c r="H221" i="16"/>
  <c r="H220" i="16"/>
  <c r="H219" i="16"/>
  <c r="H218" i="16"/>
  <c r="H217" i="16"/>
  <c r="H216" i="16"/>
  <c r="H215" i="16"/>
  <c r="H214" i="16"/>
  <c r="H213" i="16"/>
  <c r="H212" i="16"/>
  <c r="H211" i="16"/>
  <c r="H210" i="16"/>
  <c r="H209" i="16"/>
  <c r="H208" i="16"/>
  <c r="H207" i="16"/>
  <c r="H206" i="16"/>
  <c r="H205" i="16"/>
  <c r="H204" i="16"/>
  <c r="H203" i="16"/>
  <c r="H202" i="16"/>
  <c r="H201" i="16"/>
  <c r="H200" i="16"/>
  <c r="H199" i="16"/>
  <c r="H198" i="16"/>
  <c r="H197" i="16"/>
  <c r="H196" i="16"/>
  <c r="H195" i="16"/>
  <c r="H194" i="16"/>
  <c r="H193" i="16"/>
  <c r="H192" i="16"/>
  <c r="H191" i="16"/>
  <c r="H190" i="16"/>
  <c r="H189" i="16"/>
  <c r="H188" i="16"/>
  <c r="H187" i="16"/>
  <c r="H186" i="16"/>
  <c r="H185" i="16"/>
  <c r="H184" i="16"/>
  <c r="H183" i="16"/>
  <c r="H182" i="16"/>
  <c r="H181" i="16"/>
  <c r="H180" i="16"/>
  <c r="H179" i="16"/>
  <c r="H178" i="16"/>
  <c r="H177" i="16"/>
  <c r="H176" i="16"/>
  <c r="H175" i="16"/>
  <c r="H174" i="16"/>
  <c r="H173" i="16"/>
  <c r="H172" i="16"/>
  <c r="H171" i="16"/>
  <c r="H170" i="16"/>
  <c r="H169" i="16"/>
  <c r="H168" i="16"/>
  <c r="H167" i="16"/>
  <c r="H166" i="16"/>
  <c r="H165" i="16"/>
  <c r="H164" i="16"/>
  <c r="H163" i="16"/>
  <c r="H162" i="16"/>
  <c r="H161" i="16"/>
  <c r="H160" i="16"/>
  <c r="H159" i="16"/>
  <c r="H158" i="16"/>
  <c r="H157" i="16"/>
  <c r="H156" i="16"/>
  <c r="H155" i="16"/>
  <c r="H154" i="16"/>
  <c r="H153" i="16"/>
  <c r="H152" i="16"/>
  <c r="H151" i="16"/>
  <c r="H150" i="16"/>
  <c r="H149" i="16"/>
  <c r="H148" i="16"/>
  <c r="H147" i="16"/>
  <c r="H146" i="16"/>
  <c r="H145" i="16"/>
  <c r="H144" i="16"/>
  <c r="H143" i="16"/>
  <c r="H142" i="16"/>
  <c r="H141" i="16"/>
  <c r="H140" i="16"/>
  <c r="H139" i="16"/>
  <c r="H138" i="16"/>
  <c r="H137" i="16"/>
  <c r="H136" i="16"/>
  <c r="H135" i="16"/>
  <c r="H134" i="16"/>
  <c r="H133" i="16"/>
  <c r="H132" i="16"/>
  <c r="H131" i="16"/>
  <c r="H130" i="16"/>
  <c r="H129" i="16"/>
  <c r="H128" i="16"/>
  <c r="H127" i="16"/>
  <c r="H126" i="16"/>
  <c r="H125" i="16"/>
  <c r="H124" i="16"/>
  <c r="H123" i="16"/>
  <c r="H122" i="16"/>
  <c r="H121" i="16"/>
  <c r="H120" i="16"/>
  <c r="H119" i="16"/>
  <c r="H118" i="16"/>
  <c r="H117" i="16"/>
  <c r="H116" i="16"/>
  <c r="H115" i="16"/>
  <c r="H114" i="16"/>
  <c r="H113" i="16"/>
  <c r="H112" i="16"/>
  <c r="H111" i="16"/>
  <c r="H110" i="16"/>
  <c r="H109" i="16"/>
  <c r="H108" i="16"/>
  <c r="H107" i="16"/>
  <c r="H106" i="16"/>
  <c r="H105" i="16"/>
  <c r="H104" i="16"/>
  <c r="H103" i="16"/>
  <c r="H102" i="16"/>
  <c r="M11" i="65" s="1"/>
  <c r="H101" i="16"/>
  <c r="H100" i="16"/>
  <c r="H99" i="16"/>
  <c r="H98" i="16"/>
  <c r="H97" i="16"/>
  <c r="H96" i="16"/>
  <c r="H95" i="16"/>
  <c r="H94" i="16"/>
  <c r="H93" i="16"/>
  <c r="H92" i="16"/>
  <c r="H91" i="16"/>
  <c r="H90" i="16"/>
  <c r="H89" i="16"/>
  <c r="H88" i="16"/>
  <c r="H87" i="16"/>
  <c r="H86" i="16"/>
  <c r="H85" i="16"/>
  <c r="H84" i="16"/>
  <c r="H83" i="16"/>
  <c r="H82" i="16"/>
  <c r="H81" i="16"/>
  <c r="H80" i="16"/>
  <c r="H79" i="16"/>
  <c r="H78" i="16"/>
  <c r="H77" i="16"/>
  <c r="H76" i="16"/>
  <c r="H75" i="16"/>
  <c r="H74" i="16"/>
  <c r="H73" i="16"/>
  <c r="H72" i="16"/>
  <c r="H71" i="16"/>
  <c r="H70" i="16"/>
  <c r="H69" i="16"/>
  <c r="H68" i="16"/>
  <c r="H67" i="16"/>
  <c r="H66" i="16"/>
  <c r="H65" i="16"/>
  <c r="H64" i="16"/>
  <c r="H63" i="16"/>
  <c r="H62" i="16"/>
  <c r="H61" i="16"/>
  <c r="H60" i="16"/>
  <c r="H59" i="16"/>
  <c r="H58" i="16"/>
  <c r="H57" i="16"/>
  <c r="H56" i="16"/>
  <c r="H55" i="16"/>
  <c r="H54" i="16"/>
  <c r="H53" i="16"/>
  <c r="H52" i="16"/>
  <c r="H51" i="16"/>
  <c r="H50" i="16"/>
  <c r="H49" i="16"/>
  <c r="H48" i="16"/>
  <c r="H47" i="16"/>
  <c r="H46" i="16"/>
  <c r="H45" i="16"/>
  <c r="H44" i="16"/>
  <c r="H43" i="16"/>
  <c r="H42" i="16"/>
  <c r="H41" i="16"/>
  <c r="H40" i="16"/>
  <c r="H39" i="16"/>
  <c r="H21" i="16"/>
  <c r="H20" i="16"/>
  <c r="H19" i="16"/>
  <c r="H18" i="16"/>
  <c r="H17" i="16"/>
  <c r="H16" i="16"/>
  <c r="H15" i="16"/>
  <c r="H14" i="16"/>
  <c r="H13" i="16"/>
  <c r="H12" i="16"/>
  <c r="H11" i="16"/>
  <c r="H10" i="16"/>
  <c r="H9" i="16"/>
  <c r="H8" i="16"/>
  <c r="H7" i="16"/>
  <c r="H6" i="16"/>
  <c r="H5" i="16"/>
  <c r="H4" i="16"/>
  <c r="H3" i="16"/>
  <c r="H2" i="16"/>
  <c r="W11" i="65" l="1"/>
  <c r="M18" i="16"/>
  <c r="L18" i="16"/>
  <c r="M19" i="16"/>
  <c r="L19" i="16"/>
  <c r="J31" i="16" a="1"/>
  <c r="J31" i="16" s="1"/>
  <c r="E5" i="65" s="1"/>
  <c r="J28" i="16" a="1"/>
  <c r="J28" i="16" s="1"/>
  <c r="K5" i="65" s="1"/>
  <c r="M17" i="16"/>
  <c r="L17" i="16"/>
  <c r="K17" i="16"/>
  <c r="K18" i="16" a="1"/>
  <c r="K18" i="16" s="1"/>
  <c r="K19" i="16" a="1"/>
  <c r="K19" i="16" s="1"/>
  <c r="J22" i="16" a="1"/>
  <c r="J22" i="16" s="1"/>
  <c r="G9" i="43" s="1"/>
  <c r="J25" i="16" a="1"/>
  <c r="J25" i="16" s="1"/>
  <c r="G5" i="43" s="1"/>
  <c r="P2" i="16"/>
  <c r="AC11" i="65"/>
  <c r="V2" i="16"/>
  <c r="N7" i="16"/>
  <c r="T7" i="16"/>
  <c r="S13" i="65"/>
  <c r="M12" i="16"/>
  <c r="W13" i="65"/>
  <c r="S12" i="16"/>
  <c r="K4" i="16"/>
  <c r="O15" i="65"/>
  <c r="Q4" i="16"/>
  <c r="O10" i="16"/>
  <c r="S11" i="65"/>
  <c r="U10" i="16"/>
  <c r="P6" i="16"/>
  <c r="V6" i="16"/>
  <c r="O13" i="65"/>
  <c r="M4" i="16"/>
  <c r="S4" i="16"/>
  <c r="AC15" i="65"/>
  <c r="N4" i="16"/>
  <c r="T4" i="16"/>
  <c r="K6" i="16"/>
  <c r="M15" i="65"/>
  <c r="Q6" i="16"/>
  <c r="P7" i="16"/>
  <c r="V7" i="16"/>
  <c r="O11" i="16"/>
  <c r="U11" i="16"/>
  <c r="Q11" i="65"/>
  <c r="O12" i="16"/>
  <c r="U12" i="16"/>
  <c r="U13" i="65"/>
  <c r="G13" i="65"/>
  <c r="M9" i="16"/>
  <c r="S9" i="16"/>
  <c r="G15" i="65"/>
  <c r="K2" i="16"/>
  <c r="E15" i="65"/>
  <c r="Q2" i="16"/>
  <c r="I15" i="65"/>
  <c r="K5" i="16"/>
  <c r="Q5" i="16"/>
  <c r="K15" i="65"/>
  <c r="M6" i="16"/>
  <c r="M13" i="65"/>
  <c r="S6" i="16"/>
  <c r="K7" i="16"/>
  <c r="U15" i="65"/>
  <c r="Q7" i="16"/>
  <c r="M8" i="16"/>
  <c r="S8" i="16"/>
  <c r="G11" i="65"/>
  <c r="O9" i="16"/>
  <c r="U9" i="16"/>
  <c r="P10" i="16"/>
  <c r="V10" i="16"/>
  <c r="L6" i="16"/>
  <c r="R6" i="16"/>
  <c r="AA13" i="65"/>
  <c r="N9" i="16"/>
  <c r="T9" i="16"/>
  <c r="M2" i="16"/>
  <c r="S2" i="16"/>
  <c r="E13" i="65"/>
  <c r="I13" i="65"/>
  <c r="O4" i="16"/>
  <c r="U4" i="16"/>
  <c r="O11" i="65"/>
  <c r="M5" i="16"/>
  <c r="K13" i="65"/>
  <c r="S5" i="16"/>
  <c r="N6" i="16"/>
  <c r="T6" i="16"/>
  <c r="K11" i="16"/>
  <c r="Q11" i="16"/>
  <c r="Q15" i="65"/>
  <c r="L11" i="16"/>
  <c r="R11" i="16"/>
  <c r="O6" i="16"/>
  <c r="U6" i="16"/>
  <c r="M7" i="16"/>
  <c r="S7" i="16"/>
  <c r="K9" i="16"/>
  <c r="Q9" i="16"/>
  <c r="N10" i="16"/>
  <c r="T10" i="16"/>
  <c r="N11" i="16"/>
  <c r="T11" i="16"/>
  <c r="L10" i="16"/>
  <c r="R10" i="16"/>
  <c r="K8" i="16"/>
  <c r="Q8" i="16"/>
  <c r="AA15" i="65"/>
  <c r="O2" i="16"/>
  <c r="E11" i="65"/>
  <c r="I11" i="65"/>
  <c r="U2" i="16"/>
  <c r="P9" i="16"/>
  <c r="V9" i="16"/>
  <c r="AC13" i="65"/>
  <c r="N2" i="16"/>
  <c r="T2" i="16"/>
  <c r="O7" i="16"/>
  <c r="U11" i="65"/>
  <c r="U7" i="16"/>
  <c r="O8" i="16"/>
  <c r="AA11" i="65"/>
  <c r="U8" i="16"/>
  <c r="K10" i="16"/>
  <c r="S15" i="65"/>
  <c r="Q10" i="16"/>
  <c r="S11" i="16"/>
  <c r="Q13" i="65"/>
  <c r="M11" i="16"/>
  <c r="K12" i="16"/>
  <c r="W15" i="65"/>
  <c r="Q12" i="16"/>
  <c r="O5" i="16"/>
  <c r="K11" i="65"/>
  <c r="U5" i="16"/>
  <c r="M10" i="16"/>
  <c r="S10" i="16"/>
  <c r="G34" i="45"/>
  <c r="G33" i="45"/>
  <c r="G32" i="45"/>
  <c r="G31" i="45"/>
  <c r="G30" i="45"/>
  <c r="G29" i="45"/>
  <c r="G28" i="45"/>
  <c r="G27" i="45"/>
  <c r="G26" i="45"/>
  <c r="G25" i="45"/>
  <c r="G24" i="45"/>
  <c r="R13" i="16" l="1"/>
  <c r="O13" i="16"/>
  <c r="L13" i="16"/>
  <c r="T13" i="16"/>
  <c r="N13" i="16"/>
  <c r="S13" i="16"/>
  <c r="Q13" i="16"/>
  <c r="M13" i="16"/>
  <c r="U13" i="16"/>
  <c r="K13" i="16"/>
  <c r="V13" i="16"/>
  <c r="P13" i="16"/>
  <c r="G4" i="70" a="1"/>
  <c r="G4" i="7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<sst xmlns="http://schemas.openxmlformats.org/spreadsheetml/2006/main" count="4211" uniqueCount="2090">
  <si>
    <t>Home</t>
  </si>
  <si>
    <t>Australian Energy Sector Cyber Security Framework (AESCSF)</t>
  </si>
  <si>
    <t>Welcome</t>
  </si>
  <si>
    <t>Offline Self-Assessment Toolkit version 2022</t>
  </si>
  <si>
    <t>Step 1</t>
  </si>
  <si>
    <t>Assess Criticality</t>
  </si>
  <si>
    <t>1a.</t>
  </si>
  <si>
    <t>Complete the Electricity Criticality Assessment Tool (E-CAT)</t>
  </si>
  <si>
    <t>1b.</t>
  </si>
  <si>
    <t>Complete the Gas Criticality Assessment Tool (G-CAT)</t>
  </si>
  <si>
    <t>1c.</t>
  </si>
  <si>
    <t>Complete the Liquid Fuels Criticality Assessment Tool (L-CAT)</t>
  </si>
  <si>
    <t>Step 2</t>
  </si>
  <si>
    <t>Assess Maturity</t>
  </si>
  <si>
    <t>2a.</t>
  </si>
  <si>
    <t>Risk Management (RM)</t>
  </si>
  <si>
    <t>2b.</t>
  </si>
  <si>
    <t>Cyber security Program Management (CPM)</t>
  </si>
  <si>
    <t>2c.</t>
  </si>
  <si>
    <t>Asset, Change, and Configuration Management (ACM)</t>
  </si>
  <si>
    <t>2d.</t>
  </si>
  <si>
    <t>Identity and Access Management (IAM)</t>
  </si>
  <si>
    <t>2e.</t>
  </si>
  <si>
    <t>Information Sharing and Communications (ISC)</t>
  </si>
  <si>
    <t>2f.</t>
  </si>
  <si>
    <t>Threat and Vulnerability Management (TVM)</t>
  </si>
  <si>
    <t>2g.</t>
  </si>
  <si>
    <t>Situational Awareness (SA)</t>
  </si>
  <si>
    <t>2h.</t>
  </si>
  <si>
    <t>Event and Incident Response, Continuity of Operations (IR)</t>
  </si>
  <si>
    <t>2i.</t>
  </si>
  <si>
    <t>Supply Chain and External Dependencies Management (EDM)</t>
  </si>
  <si>
    <t>2j.</t>
  </si>
  <si>
    <t>Workforce Management (WM)</t>
  </si>
  <si>
    <t>2k.</t>
  </si>
  <si>
    <t>Australian Privacy Management (APM)</t>
  </si>
  <si>
    <t>Step 3</t>
  </si>
  <si>
    <t>Review Results</t>
  </si>
  <si>
    <t>3a.</t>
  </si>
  <si>
    <t>Review your Self-Assessment Results by Maturity Indicator Level (MIL) – Dashboard 1</t>
  </si>
  <si>
    <t>3b.</t>
  </si>
  <si>
    <t>Review your Self-Assessment Results by Security Profile (SP) – Dashboard 2</t>
  </si>
  <si>
    <t>Step 4</t>
  </si>
  <si>
    <t>Additional Guidance</t>
  </si>
  <si>
    <t>4a.</t>
  </si>
  <si>
    <t>Glossary</t>
  </si>
  <si>
    <t>For enquries regarding the AESCSF (including this toolkit) please contact aescsf@aemo.com.au</t>
  </si>
  <si>
    <t>Material to support this toolkit can be downloaded from aemo.com.au</t>
  </si>
  <si>
    <t>Electricity Criticality Assessment Tool (E-CAT)</t>
  </si>
  <si>
    <t>Overall Electricity Criticality Level (2022)</t>
  </si>
  <si>
    <t>Tool Description</t>
  </si>
  <si>
    <t>The Criticality Assessment Tool (CAT) has been designed to assess the relative criticality of entities participating within the electricity markets operated by the Australian Energy Market Operator (AEMO) (including the National Electricity Market [NEM] and the Wholesale Electricity Market [WEM]).
The primary objective of the tool is to place all participating entities on a single scale for the purpose of reporting, benchmarking and determining the applicable target state maturity guidance from the Australian Cyber Security Centre (ACSC).
Based on consultation with AEMO and the Cyber Security Industry Working Group (CSIWG), each electricity market subsector has been assigned a criticality band on the scale. Key criticality indicators for each electricity market subsector have been established to stratify participating entities within the subsector criticality bands. These indicators are posed as questions, some of which are answered as "Yes" or "No", and some of which are single- select within pre-defined ranges.
Participating entities are placed within applicable subsector criticality bands based on their responses to the questions. This placement determines the criticality rating (High, Medium, Low) for each applicable subsector. An entities overall criticality rating is the highest rating from across all applicable subsectors.</t>
  </si>
  <si>
    <t>Questionnaire</t>
  </si>
  <si>
    <t>Assess</t>
  </si>
  <si>
    <t>Response</t>
  </si>
  <si>
    <t>Self-Evaluation Notes</t>
  </si>
  <si>
    <t>Weight</t>
  </si>
  <si>
    <t>Generation (GEN)</t>
  </si>
  <si>
    <t>GEN.0</t>
  </si>
  <si>
    <t>Are you an electricity Generator?</t>
  </si>
  <si>
    <t>Context and Guidance</t>
  </si>
  <si>
    <t>A Generation Facility produces electricity from sources including coal, gas, solar, water, wind, biomass, and geo-thermal. For the purpose of this section, a Generation Facility is synonymous with a Power Station.
According to the Australian Energy Regulator (AER), there are many Generation Facilities in the National Electricity Market (NEM), with varied trading rights and ownership. Some of these Facilities provide continuous (scheduled) generation capacity, whereas others provide sporadic (non-scheduled) generation capacity. Non-scheduled generation capacity is usually dispatched in response to high electricity usage from Customers.</t>
  </si>
  <si>
    <t>GEN.1</t>
  </si>
  <si>
    <t>What is your maximum dispatchable generation capacity in Megawatts (MW)?</t>
  </si>
  <si>
    <t>The maximum dispatchable generation capacity should be calculated considering the type of generation facility that you operate. You may have one or many generation assets within a generation facility.
Where you operate a generation asset that provides:
- Scheduled generation, your maximum dispatchable generation capacity refers to your maximum scheduled generation capacity.
- Semi-scheduled or non-scheduled generation, your maximum dispatchable generation capacity refers to the nameplate capacity.
Maximum dispatchable generation capacity should be calculated as the sum of the maximum dispatchable generation assets in scope.</t>
  </si>
  <si>
    <t>GEN.2</t>
  </si>
  <si>
    <t>On average over the last 3 financial years, what percentage of the year was that dispatchable capacity available?</t>
  </si>
  <si>
    <t>The relevant period for this calculation is the 3 most recent full financial years (1 July to 30 June). Do not include data for the current incomplete financial year.
The average should be calculated as follows:
- For each of the 3 financial years; determine the number of days where your dispatchable capacity was available, divided by 365 (number of days in a non-leap year).
- The sum of three yearly averages, divided by three (for example, (77% + 80% + 75%] / 3)
For the purpose of this calculation:
- Any extended (either planned or unplanned) periods of downtime for maintenance or otherwise should be considered days when the capacity was not available.
- For renewable generation, any periods of downtime arising from the unavailability of an energy source should be considered days when the capacity was not available.</t>
  </si>
  <si>
    <t>GEN.3</t>
  </si>
  <si>
    <t>In how many regions do you operate more than 400 Megawatts (MW) of dispatchable generation capacity?</t>
  </si>
  <si>
    <t>For the purpose of this question, a region is synonymous with an Australian State or Territory.
Refer to GEN.1 to determine dispatchable generation capacity.</t>
  </si>
  <si>
    <t>GEN.4</t>
  </si>
  <si>
    <t>On average over the last 3 financial years, how many Gigawatt Hours (GWh) did you dispatch?</t>
  </si>
  <si>
    <t>The relevant period for this calculation is the 3 most recent full financial years (1 July to 30 June). Do not include data for the current incomplete financial year.
The average should be calculated as follows:
- The sum of dispatch for each day, totalled by year (for example, 2 MWh per day for 365 days = 730 MWh)
- The sum of three yearly totals, divided by three (for example, [730 + 730 + 730] / 3)
Note: 1 Megawatt hour (MWh) is equal to 0.001 Gigawatt hours (GWh). To convert MWh into GWh, divide the number of MWh by 1000.</t>
  </si>
  <si>
    <t>GEN.5</t>
  </si>
  <si>
    <t>Are any of your generation assets considered Synchronous Machines?</t>
  </si>
  <si>
    <t>A strong power system can respond better to disturbances than a weak one.
Because of how the power system is designed, synchronous machines - like coal, gas and hydro generators - make the system stronger just by operating.
In any part of the power system where lots of non- synchronous generation starts up, that local area can become weaker and potentially unstable.
To strengthen a weaker part of the system, enough synchronous machines have to be operating alongside the non-synchronous generation. If more non-synchronous generation is operating, the contribution of synchronous machines also needs to increase, to keep the proportion right.
Source: AEMO, "Keeping the power system strong", Published 08 February 2018</t>
  </si>
  <si>
    <t>GEN.6</t>
  </si>
  <si>
    <t>Are you a registered Frequency Control Ancillary Services (FCAS) provider?</t>
  </si>
  <si>
    <t>Ancillary services are used by AEMO to manage the power system safely, securely, and reliably. These services maintain key technical characteristics of the system, including standards for frequency, voltage, network loading, and system restart processes.
AEMO operates eight separate markets for the delivery of Frequency Control Ancillary Services (FCAS), and purchases Network Support Control Ancillary Services (NSCAS) and System Restart Ancillary Services (SRAS) under agreements with service providers. Payments for ancillary services include payments for availability and delivery of the services.
SRAS are reserved for contingency situations in which there has been a major supply disruption or where the electrical system must be restarted.
Ancillary service costs are dependent upon the amount of service required at any particular time and, as these amounts can vary significantly from period to period, costs will also vary.
Source: AEMO, "Ancillary Services", Published April 2015</t>
  </si>
  <si>
    <t>GEN.6.1</t>
  </si>
  <si>
    <t>Do you provide Regulation or Fast Contingency FCAS?</t>
  </si>
  <si>
    <t>Refer to GEN.6
This weight is only included in your calculated Criticality Assessment Result if GEN.6 is answered as "Yes"</t>
  </si>
  <si>
    <t>GEN.7</t>
  </si>
  <si>
    <t>Are you a registered System Restart Ancillary Services (SRAS) provider?</t>
  </si>
  <si>
    <t>Refer to GEN.6</t>
  </si>
  <si>
    <t>GEN.8</t>
  </si>
  <si>
    <t>Do you have any Network Support Agreements?</t>
  </si>
  <si>
    <t>This includes Network Support Control Ancillary Services (NSCAS) (from GEN.6) and any other Network Support Agreements directly with a DNSP or TNSP.</t>
  </si>
  <si>
    <t>GEN.9</t>
  </si>
  <si>
    <t>In which region (or regions) do you provide this service?</t>
  </si>
  <si>
    <t>This information is used for reporting purposes only and does not influence your criticality. Select the primary region that applies.</t>
  </si>
  <si>
    <t>Transmission Network Service Provider (TNSP)</t>
  </si>
  <si>
    <t>TNSP.0</t>
  </si>
  <si>
    <t>Are you an electricity Transmission Network Service Provider (TNSP)?</t>
  </si>
  <si>
    <t>A Transmission Network Service Provider (TNSP) operates transmission lines which carry electricity across long distances, from one or many Generators to a Distribution Network Service Provider (DNSP). Some commercial customers (such as large industrial users) take their electricity directly from a Transmission Network Service Provider (TNSP).</t>
  </si>
  <si>
    <t>TNSP.1</t>
  </si>
  <si>
    <t>How many Gigawatt Hours (GWh) of electricity did you transport last financial year?</t>
  </si>
  <si>
    <t>This refers to the sum of electricity transported during the most recent full financial year (1 July to 30 June). Do not include data for the current incomplete financial year.</t>
  </si>
  <si>
    <t>TNSP.2</t>
  </si>
  <si>
    <t>What is the combined Nominal Capacity (in Megawatts (MW)) of all Interconnectors that you operate?</t>
  </si>
  <si>
    <t>Nominal Capacity refers to the optimal capacity for an Interconnector when there are no transmission outages. Actual Capacity refers to the achievable transfers at any point in time. Actual Capacity may differ from the Nominal Capacity.
Source: AEMO, "Interconnector Capabilities for The National Electricity Market", Published November 2017</t>
  </si>
  <si>
    <t>TNSP.3</t>
  </si>
  <si>
    <t>Interconnector (IC)</t>
  </si>
  <si>
    <t>IC.0</t>
  </si>
  <si>
    <t>Do you operate an electricity Interconnector that is independent of a Transmission Network Service Provider (TNSP)?</t>
  </si>
  <si>
    <t>The electricity transmission networks across the eastern Australia jurisdictions are connected to one another to create the National Electricity Market (NEM). This is made possible through a combination of electricity Interconnectors operated by Transmission Network Service Providers (TNSPs) and Interconnectors operated independently.</t>
  </si>
  <si>
    <t>IC.1</t>
  </si>
  <si>
    <t>IC.2</t>
  </si>
  <si>
    <t>Do you operate any Interconnectors with a Nominal Capacity of more than 400 Megawatts (MW)?</t>
  </si>
  <si>
    <t>This refers to the Nominal Capacity of single Interconnector, not the combined Nominal Capacity of all Interconnectors that you operate. If the Interconnector is bi-directional, your response should consider the maximum Nominal Capacity of either direction only, not the sum of both directions.</t>
  </si>
  <si>
    <t>IC.3</t>
  </si>
  <si>
    <t>Distribution Network Service Provider (DNSP)</t>
  </si>
  <si>
    <t>DNSP.0</t>
  </si>
  <si>
    <t>Are you an electricity Distribution Network Service Provider (DNSP)?</t>
  </si>
  <si>
    <t>A Distribution Network Service Provider (DNSP) operates distribution transformers which convert high-voltage electricity to low-voltage electricity that is ready for distribution, and distribution lines that carry low voltage electricity to customers. Retailers work with a DNSP to connect a customer to the electricity grid.</t>
  </si>
  <si>
    <t>DNSP.1</t>
  </si>
  <si>
    <t>How many Customers (Number of National Metering Identifiers (NMIs)) do you supply electricity to?</t>
  </si>
  <si>
    <t>This refers to the number of Customers that you supply electricity to, based on the number of National Metering Identifiers (NMIs) that are connected to your network.</t>
  </si>
  <si>
    <t>DNSP.2</t>
  </si>
  <si>
    <t>DNSP.3</t>
  </si>
  <si>
    <t>How many Critical and Commercial Customers does your entity serve?</t>
  </si>
  <si>
    <t>Of the total number of Customers that you supply electricity to (from DNSP.1), how many of these are considered Critical and Commercial?
NB: Please refer to the glossary for further information regarding Critical and Commercial Customers.</t>
  </si>
  <si>
    <t>DNSP.4</t>
  </si>
  <si>
    <t>Retailer (RET)</t>
  </si>
  <si>
    <t>RET.0</t>
  </si>
  <si>
    <t>Are you an electricity Retailer?</t>
  </si>
  <si>
    <t>An electricity Retailer sells electricity to Customers, and liaises with the appropriate Distribution Network Service Provider (DNSP) to ensure Customer connection to the electricity grid. Some Customer connections utilise Advanced Metering Infrastructure (AMI), which automates the connection and disconnection process of a Customer.</t>
  </si>
  <si>
    <t>RET.1</t>
  </si>
  <si>
    <t>How many Customers (Number of National Metering Identifiers (NMIs)) does your entity serve?</t>
  </si>
  <si>
    <t>RET.2</t>
  </si>
  <si>
    <t>What percentage of your Customer base is connected via Advanced Metering Infrastructure (AMI)?</t>
  </si>
  <si>
    <t>This refers to the number of National Metering Identifiers (NMIs) with an Advanced Metering Infrastructure (AMI) connection between their premises and the Distribution Network Service Provider (DNSP), divided by the total number of NMIs connected to your network.
AMI refers to systems that measure, collect, and analyse energy usage, from advanced devices such as 'smart' electricity meters, gas meters, and/or water meters, through various communication media on request or on a predefined schedule.
Source: Adapted from SGMM v1.1 Glossary</t>
  </si>
  <si>
    <t>RET.3</t>
  </si>
  <si>
    <t>Of the total number of Customers that you supply electricity to (from RET.1), how many of these are considered Critical and Commercial?
NB: Please refer to the glossary for further information regarding Critical and Commercial Customers</t>
  </si>
  <si>
    <t>RET.4</t>
  </si>
  <si>
    <t>Do you operate Virtual Power Plants (VPP) in your network?</t>
  </si>
  <si>
    <t>A Virtual Power Plant (VPP) refers to an aggregation of resources, coordinated using software and communications technology, to deliver services that have traditionally been performed by a conventional power plant. In Australia, grid-connected VPPs are focused on coordinating rooftop PV and battery storage.
Source: AEMO, "Virtual Power Plan (VPP) Demonstrations", Published 23 November 2018</t>
  </si>
  <si>
    <t>RET.5</t>
  </si>
  <si>
    <t>Are you registered as a Retailer of Last Resort (RoLR)?</t>
  </si>
  <si>
    <t>Under the Retail Law, the Australian Energy Regulator (AER) is responsible for overseeing the national Retailer of Last Resort (RoLR) scheme. The scheme is principally designed to ensure that in the event of retailer failure, arrangements are in place to ensure that customers continue to receive electricity and/or gas supply.
Source: AER, "Retailer of Last Resort plan - July 2015", Published 31 July 2015</t>
  </si>
  <si>
    <t>RET.6</t>
  </si>
  <si>
    <t>Are you the sole Retailer for any region?</t>
  </si>
  <si>
    <t>For the purpose of this question, a region is synonymous with an Australian State or Territory.</t>
  </si>
  <si>
    <t>RET.7</t>
  </si>
  <si>
    <t>In which region (or regions) do you provide this service? (i.e. RET.0)</t>
  </si>
  <si>
    <t>Market Operations (OPS)</t>
  </si>
  <si>
    <t>OPS.0</t>
  </si>
  <si>
    <t>Are you the Market Operator?</t>
  </si>
  <si>
    <t>The Australian Energy Market Operator (AEMO) is responsible for operating Australia's largest electricity markets and power systems, including the National Electricity Market (NEM) and the Wholesale Electricity Market (WEM).</t>
  </si>
  <si>
    <t>Go to Top</t>
  </si>
  <si>
    <t>Gas Criticality Assessment Tool (G-CAT)</t>
  </si>
  <si>
    <t>Overall Gas Criticality Level (2022)</t>
  </si>
  <si>
    <t>The Gas Criticality Assessment Tool (G-CAT) has been designed to assess the relative criticality of entities participating in the Australian gas sub-sector. This includes, but is not limited to, the gas markets operated by the Australian Energy Market Operator (AEMO) (including the Declared Wholesale Gas Market [DWGM], amongst others).
The primary objective of the tool is to place all participating entities on a single scale for the purpose of reporting, benchmarking, and determining the applicable target state maturity guidance from the Australian Cyber Security Centre (ACSC).
Based on consultation with AEMO and the Cyber Security Industry Working Group (CSIWG), each gas market role has been assigned a criticality band on the scale. Key criticality indicators for each gas market role have been established to stratify participating entities within the role's criticality bands. These indicators are posed as questions, some of which are answered as "Yes" or "No", and some of which are a single selection from a pre-defined range.
Participating entities are placed within applicable role criticality bands based on their responses to the questions. This placement determines the criticality rating (High, Medium, Low) for each applicable role. An entities’ overall criticality rating is the highest rating from across all applicable roles.</t>
  </si>
  <si>
    <t>Production (G-PROD)</t>
  </si>
  <si>
    <t>G_PROD.0</t>
  </si>
  <si>
    <t>Is your entity involved in the production of natural gas?</t>
  </si>
  <si>
    <t>According to the Australia Energy Market Commission (AEMC), natural gas in Australia is currently extracted as either:
- conventional gas; OR
- unconventional gas (such as coal seam gas or shale gas)
Gas producers sell wholesale gas to electricity generators, other large gas users and energy retailers, who sell it to businesses and household customers.</t>
  </si>
  <si>
    <t>G_PROD.1</t>
  </si>
  <si>
    <t>What is the total quantity of natural gas (in petajoules [PJ]) that your entity produced for domestic use in the last financial year?</t>
  </si>
  <si>
    <t>This refers to the sum of natural gas produced during the most recent financial year (1 July to 30 June) for domestic use. Do not include data for the current incomplete financial year.
Criticality from the AESCSF perspective is primarily focused on natural gas produced for domestic use, so please exclude any production that was exported.</t>
  </si>
  <si>
    <t>G_PROD.2</t>
  </si>
  <si>
    <t>Is your entity involved in the liquefaction of natural gas (i.e., does your entity produce Liquified Natural Gas [LNG]) for domestic use?</t>
  </si>
  <si>
    <t>This refers to liquefied natural gas (LNG) which is natural gas that has been cooled down to liquid form for ease and safety of non-pressurised storage or transport. The majority of LNG production in Australia is used for export to foreign countries and entities.
The focus of this question relates to the production of LNG for domestic use, which is typically held in storage for emergency supply or Gas-Powered Generation (GPG).</t>
  </si>
  <si>
    <t>G_PROD.2.1</t>
  </si>
  <si>
    <t>How many petajoules of Liquified Natural Gas (LNG) did you produce for domestic use in the last financial year?</t>
  </si>
  <si>
    <t>The relevant period for this calculation is the most recent financial year (1 July to 30 June). Do not include data for the current incomplete financial year.
The calculation for this amount is as follows: The sum of dispatch for each day, totalled by days in a year (for example, 2 petajoules per day for 365 days = 730 petajoules.</t>
  </si>
  <si>
    <t>G_PROD.3</t>
  </si>
  <si>
    <t>Transmission Network Service Provider (G-TNSP)</t>
  </si>
  <si>
    <t>G_TNSP.0</t>
  </si>
  <si>
    <t>Is your entity involved in the transmission of natural gas?</t>
  </si>
  <si>
    <t>The gas produced for domestic consumption is transported by high transmission pipelines from the production facility to the entry point of the distribution network (known as the city gate) or to large users that are connected to the transmission pipeline.
Transmission pipelines use very high-pressure pipelines, compressor stations, storage facilities and other elements to transport gas.</t>
  </si>
  <si>
    <t>G_TNSP.1</t>
  </si>
  <si>
    <t>What is the combined capacity (throughput) of your transmission pipelines (TJ/d)?</t>
  </si>
  <si>
    <t>The relevant period for this calculation is the most recent financial year (1 July to 30 June). Do not include data for the current incomplete financial year.
The calculated capacity includes both full regulation pipelines and light regulation pipelines. Capacity should be based on pipeline capacity for primary gas flow direction only. Do not include or add reverse flow capacity for bi-directional pipelines.</t>
  </si>
  <si>
    <t>G_TNSP.2</t>
  </si>
  <si>
    <t>How many Commercial Customers does your entity transmit natural gas to?</t>
  </si>
  <si>
    <t>Of the total number of Customers that you supply gas to, how many of these are considered Commercial?
NB: Please refer to the glossary for further information regarding Commercial Customers.</t>
  </si>
  <si>
    <t>G_TNSP.3</t>
  </si>
  <si>
    <t>How many Critical Customers does your entity transmit natural gas to?</t>
  </si>
  <si>
    <t>Of the total number of Customers that you supply gas to, how many of these are considered Critical?
NB: Please refer to the glossary for further information regarding Critical Customers.</t>
  </si>
  <si>
    <t>G_TNSP.4</t>
  </si>
  <si>
    <t>How many Gas-Powered Generation (GPG) entities (within Australia) does your entity transmit natural gas to?</t>
  </si>
  <si>
    <t>This refers to the number of GPGs that you transmitted natural gas to in the most recent financial year (1 July to 30 June). Do not include data for the current incomplete financial year.
Gas-Powered Generation entities use gas combustion to generate some or all of the electricity they produce.
Gas-Powered Generation entities include gas turbine power stations, thermal gas power stations and reciprocating gas power stations.</t>
  </si>
  <si>
    <t>G_TNSP.5</t>
  </si>
  <si>
    <t>How much natural gas and/or Liquified Natural Gas (LNG) (in terajoules [TJ]) did you transmit to Gas Powered Generation (GPG) entities in Australia in the last financial year?</t>
  </si>
  <si>
    <t>This refers to the sum of natural gas (in terajoules [TJ]) transmitted to GPGs in the most recent financial year (1 July to 30 June). Do not include data for the current incomplete financial year.</t>
  </si>
  <si>
    <t>G_TNSP.6</t>
  </si>
  <si>
    <t>Do you transmit natural gas to any Gas-Powered Generation (GPG) entities in South Australia?</t>
  </si>
  <si>
    <t>Gas powered generation accounts for approximately 40% of South Australia's electricity production. As such, there is a higher level of dependence on gas for electricity generation compared to other regions.</t>
  </si>
  <si>
    <t>G_TNSP.7</t>
  </si>
  <si>
    <t>What is the combined daily average quantity of natural gas (in terajoules [TJ]) held in reserve (i.e., held in transmission pipelines through "linepack") over the last financial year</t>
  </si>
  <si>
    <t>Linepack refers to the volume of gas that be stored in the gas pipeline. It is a form of gas storage that is important for maintaining and meeting gas demand.
The calculation for linepack is a function of pipeline volume (i.e., diameter and length) and pressure (i.e., gas compression).</t>
  </si>
  <si>
    <t>G_TNSP.8</t>
  </si>
  <si>
    <t>Storage (G-STOR)</t>
  </si>
  <si>
    <t>G_STOR.0</t>
  </si>
  <si>
    <t>Does your entity operate any bulk storage of natural gas or Liquified Natural Gas (LNG) for domestic use?</t>
  </si>
  <si>
    <t>This refers to storage facilities that conserve surplus natural gas production allowing for quick delivery as needed.
Gas is held in storage facilities which include any element in the gas network that has the capability of storing gas. This can be held in the transmission pipeline themselves through linepack, or through dedicated storage tanks and underground storage facilities.
Gas storage facilities can inject gas into the transmission system at short notice to manage peak demand or meet emergency needs.</t>
  </si>
  <si>
    <t>G_STOR.1</t>
  </si>
  <si>
    <t>What is the maximum withdrawal capacity of your storage facilities?</t>
  </si>
  <si>
    <t>This refers to the maximum amount of gas can be withdrawn from the storage facility in a given day. The maximum withdrawal capacity is typically dependant on the pressure levels inside the storage with the higher the pressure, the greater the withdrawal capacity.</t>
  </si>
  <si>
    <t>G_STOR.2</t>
  </si>
  <si>
    <t>What is maximum storage capacity of your storage facilities?</t>
  </si>
  <si>
    <t>This refers to the maximum amount of gas that can be held within the storage facility.</t>
  </si>
  <si>
    <t>G_STOR.3</t>
  </si>
  <si>
    <t>Distribution Network Service Provider (G-DNSP)</t>
  </si>
  <si>
    <t>G_DNSP.0</t>
  </si>
  <si>
    <t>Is your entity involved in the distribution of natural gas?</t>
  </si>
  <si>
    <t>Gas distribution refers to the transport of gas via gas distribution pipelines from transmission pipelines to end users.
They typically consist of a backbone of high and medium pressure pipelines running between the ‘city gate’ (the point of connection to the transmission pipeline) and major demand centres. This pipeline system feeds low pressure pipelines, which deliver the gas to businesses and homes.</t>
  </si>
  <si>
    <t>G_DNSP.1</t>
  </si>
  <si>
    <t>How much natural gas (in terajoules [TJ]) did you transport through your distribution pipelines in the last financial year?</t>
  </si>
  <si>
    <t>This refers to the sum of natural gas (in terajoules [TJ]) transported through all gas distribution network pipelines within the most recent financial year (1 July to 30 June). Do not include data for the current incomplete financial year.</t>
  </si>
  <si>
    <t>G_DNSP.2</t>
  </si>
  <si>
    <t>How many Customers (number of connected and active National Metering Identifiers [NMIs] or Metering Installation Reference Numbers [MIRNs]) do you supply natural gas to?</t>
  </si>
  <si>
    <t>This refers to the number of customers that you supply gas to, based on the number of National Metering Identifiers (NMIs) or Metering Installation Reference Numbers (MIRNs) that are connected to your network. Natural gas distribution pipelines supply gas to approximately 4.3 million households and 130,000 commercial and industry customers.</t>
  </si>
  <si>
    <t>G_DNSP.3</t>
  </si>
  <si>
    <t>Is your entity involved in the operation of any city gate facilities?</t>
  </si>
  <si>
    <t>City gate facilities are the point where transmission pipelines from the production facility meet the entry point of the distribution network.
City gate facilities receive high-pressure gas via the transmission pipelines and perform a step-down pressure conversion to enable gas to travel via medium-to-low pressure distribution pipelines into businesses, homes, and major demand centres.</t>
  </si>
  <si>
    <t>G_DNSP.4</t>
  </si>
  <si>
    <t>How many Critical and Commercial Customers does your entity distribute natural gas to?</t>
  </si>
  <si>
    <t>Of the total number of Customers that you supply gas to, how many of these are considered Critical and Commercial?
NB: Please refer to the glossary for further information regarding Critical and Commercial Customers.</t>
  </si>
  <si>
    <t>G_DNSP.5</t>
  </si>
  <si>
    <t>Retailer (G-RET)</t>
  </si>
  <si>
    <t>G_RET.0</t>
  </si>
  <si>
    <t>Is your entity involved in the retail of natural gas?</t>
  </si>
  <si>
    <t>A gas retailer purchases gas from wholesale markets and sells the gas to customers. These customers may be Critical or Commercial customers.
NB: Please refer to the glossary for further information regarding Critical and Commercial Customers.</t>
  </si>
  <si>
    <t>G_RET.1</t>
  </si>
  <si>
    <t>How many Customers (number of connected and active National Metering Identifiers [NMIs] or Metering Installation Reference Numbers [MIRNs]) do you provide retailing of natural gas to?</t>
  </si>
  <si>
    <t>This refers to the number of Customers that you supply gas to, based on the number of National Metering Identifiers (NMIs) that are connected to your network.</t>
  </si>
  <si>
    <t>G_RET.2</t>
  </si>
  <si>
    <t>How many Critical and Commercial Customers does your entity provide retailing of natural gas to?</t>
  </si>
  <si>
    <t>G_RET.3</t>
  </si>
  <si>
    <t>Market Operations (G-OPS)</t>
  </si>
  <si>
    <t>G_OPS.0</t>
  </si>
  <si>
    <t>Are you a Market Operator?</t>
  </si>
  <si>
    <t>The Australian Energy Market Operator (AEMO) is responsible for operating a number of wholesale gas markets, including the Declared Wholesale Gas Market (DWGM) and other markets supporting the secondary trading of gas and pipeline capacity. In addition, AEMO operates Australia’s gas retail markets and bulletin boards that provide up-to-date gas market and system information.
NB: Please do not select this response just because you operate a transmission pipeline. To be considered the market operator you must be administering the bidding and / or settlement processes for a gas market.</t>
  </si>
  <si>
    <t>G_OPS.1</t>
  </si>
  <si>
    <t>Liquid Fuels Criticality Assessment Tool (L-CAT)</t>
  </si>
  <si>
    <t>Overall Liquid Fuels Criticality Level (2022)</t>
  </si>
  <si>
    <t>The Liquid Fuels Criticality Assessment Tool (L-CAT) has been designed to assess the relative criticality of organisations participating in the Australian liquid fuels sub-sector. This includes but is not limited to, organisations subject to the National Offshore Petroleum Titles Administrator (NOPTA), and Australian Petroleum Production &amp; Exploration Association (APPEA) and the Australian Institute of Petroleum (AIP) member organisations.
The primary objective of the tool is to place all participating organisations on a single scale for the purpose of reporting, benchmarking, and determining the applicable target state maturity guidance from the Australian Cyber Security Centre (ACSC). Based on consultation DISER and the Australian Energy Sector Cyber Security Framework Review Working Group (AESCSF-RWG), each liquid fuel market role has been assigned a criticality band on the scale. Key criticality indicators for each liquid fuel market role have been established to stratify
participating organisations within the role's criticality bands. These indicators are posed as questions, some of which are answered as "Yes" or "No", and some of which are a single selection from a predefined range. Participating organisations are placed within applicable criticality bands based on their responses to the questions. This placement determines the criticality rating (High, Medium, Low) for each applicable role. An organisations’ overall criticality rating is the highest rating from across all applicable roles.</t>
  </si>
  <si>
    <t xml:space="preserve">Extraction and Production (L-EXTR) </t>
  </si>
  <si>
    <t>L_EXTR.0</t>
  </si>
  <si>
    <t>Is your organisation involved in the extraction and production of crude oil for use in the Australian Domestic market?</t>
  </si>
  <si>
    <t xml:space="preserve">100%
</t>
  </si>
  <si>
    <t xml:space="preserve">Is your organisation involved in the extraction of crude oil via the process of drilling, either from beneath the ocean floor, or from on-shore natural deposits? </t>
  </si>
  <si>
    <t>L_EXTR.1</t>
  </si>
  <si>
    <t xml:space="preserve">What is the total quantity of crude oil (in Barrels) that your organisation extracted and/or produced for use in the Australian domestic market in the last financial year? </t>
  </si>
  <si>
    <t xml:space="preserve">This refers to the total crude oil product extracted within Australian waters, or produced on-shore, which is intended for the Australian domestic market in the most recent financial year (1 July to 30 June). Please Note:  
- Criticality from the AESCSF perspective is primarily focused on liquid fuels for domestic use, so please exclude any product that has been/ is going to be exported overseas. 
- Do not include data for the current incomplete financial year. 
- 1 Barrel equals 158.987 (approximately 159) Litres of liquid fuel. </t>
  </si>
  <si>
    <r>
      <t>Note: No location/region question raised for this role as it takes place offshore, and any import locations will be captured under transport.</t>
    </r>
    <r>
      <rPr>
        <b/>
        <sz val="10"/>
        <color rgb="FF000000"/>
        <rFont val="Arial"/>
        <family val="2"/>
      </rPr>
      <t> </t>
    </r>
  </si>
  <si>
    <t>Transport and Import (L-TRAN)</t>
  </si>
  <si>
    <t>L_TRAN.0</t>
  </si>
  <si>
    <t xml:space="preserve">Is your organisation involved in the transport (including overseas import) of liquid fuels for use in the Australian Domestic market? </t>
  </si>
  <si>
    <t>Liquid fuels are transported at various stages of the supply chain including: 
- To and from Australian ports (including during the process of importing); 
- To and from fuel storage terminals and depots; 
- To and from refinement facilities;  
- To and from commercial and wholesale customers; and 
- To and from retail facilities. 
(cont. right)</t>
  </si>
  <si>
    <t xml:space="preserve">Transport takes place via water-vessel, road transport in tankers, pipelines, and rail transport.
- Water-vessel based transport is used to move volumes of liquid fuel between to Australian ports during the import process, or between Australian ports as needed. 
- Tankers and rail are used to transport discrete quantities of liquid fuel product via the road or rail network in portable storage tanks. 
- The transmission pipeline network uses high-pressure pipelines, compressor stations, storage facilities and other elements to transport gas, water, ethane, oil, and other liquid fuel product Australia-wide.  </t>
  </si>
  <si>
    <t>L_TRAN.1</t>
  </si>
  <si>
    <t xml:space="preserve">How many megalitres (ML) of liquid fuel did your organisation transport (including import) for use in the Australian domestic market last financial year? </t>
  </si>
  <si>
    <t xml:space="preserve">50%
</t>
  </si>
  <si>
    <t xml:space="preserve">This refers to the sum of liquid fuels transported during the most recent full financial year (1 July to 30 June). Do not include data for the current incomplete financial year. Please note:  
- Criticality from the AESCSF perspective is primarily focused on liquid fuels imported and / or extracted for domestic use, so please exclude any product that has been/ is going to be exported overseas. 
- 1 Megalitre (ML) = 1 Million Litres (L) (1,000,000) </t>
  </si>
  <si>
    <t>L_TRAN.2</t>
  </si>
  <si>
    <t xml:space="preserve">What is the combined maximum throughput in megalitres (ML) of your organisation’s transport network servicing the Australian domestic market? </t>
  </si>
  <si>
    <t xml:space="preserve">30%
</t>
  </si>
  <si>
    <t>Operating at full capacity, what is the maximum volume of liquid fuels your organisation can transport? This is inclusive of all transport mediums available to your organisation including: 
- Road transport tankers, where applicable; 
- Water-vessels, where applicable; 
- Pipelines, where applicable; and 
- Rail transport, where applicable. (cont. right)</t>
  </si>
  <si>
    <t xml:space="preserve">For road transport tankers, rail transport, and water vessels, use the total volume of portable storage across your fleet of assets. 
For pipelines, use the total daily throughput of your pipeline network. Capacity should be based on pipeline capacity for primary flow direction only. Do not include or add reverse flow capacity for bi-directional pipelines. </t>
  </si>
  <si>
    <t>L_TRAN.3</t>
  </si>
  <si>
    <t xml:space="preserve">What percentage of your organisation’s liquid fuel products are transported directly to Essential Users? </t>
  </si>
  <si>
    <t xml:space="preserve">20%
</t>
  </si>
  <si>
    <t xml:space="preserve">What percentage of liquid fuel products transported by your organisation are directly transported to organisations considered ‘Essential Users’ under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t>
  </si>
  <si>
    <t>- Australian defence services 
- ambulance services 
- corrective services 
- fire or rescue services 
- police services 
- public transport services</t>
  </si>
  <si>
    <t xml:space="preserve">- state emergency services or equivalent organisations 
- taxi services 
Source: Energy.gov.au, “The Liquid Fuel Emergency Act 1984”, https://www.energy.gov.au/government-priorities/energy-security/energy-emergency-management-forums/liquid-fuels-emergency-act  </t>
  </si>
  <si>
    <t>L_TRAN.4</t>
  </si>
  <si>
    <t xml:space="preserve">In which region (or regions) does your organisation provide this service? </t>
  </si>
  <si>
    <t xml:space="preserve">This information is used for reporting purposes only and does not influence your organisation’s criticality. Select the primary region that applies, considering both collection and destination regions. </t>
  </si>
  <si>
    <t xml:space="preserve">Storage (L-STOR) </t>
  </si>
  <si>
    <t>L_STOR.0</t>
  </si>
  <si>
    <t xml:space="preserve">Does your organisation operate liquid fuels storage capacity inclusive of Terminals and / or depots for domestic use? </t>
  </si>
  <si>
    <t>This refers to storage facilities which take various forms which include: 
- On-shore storage including fuel terminals and/or depots. 
- Off-shore storage being water-berthed vessels en-route/bound for Australia. (cont. right)</t>
  </si>
  <si>
    <t xml:space="preserve">Petroleum products held in storage facilities include Petrol, Diesel, Jet Fuel, LPG, and other petroleum products. Petroleum products and other liquid fuels – refined or otherwise – are usually held within dedicated storage tanks and/or underground storage facilities. </t>
  </si>
  <si>
    <t>L_STOR.1</t>
  </si>
  <si>
    <t xml:space="preserve">What is combined maximum storage capacity in megalitres (ML) of your organisation’s storage facilities? </t>
  </si>
  <si>
    <t>This refers to the maximum amount of liquid fuel product that can be stored within the combination of your organisation’s storage facilities. This includes: 
- Water-based shipments which are inbound to Australia, if applicable; 
- On-land storage such as terminals and depots, if applicable; 
- Refinery-based storage, if applicable; and 
- Retail-based storage, if applicable.</t>
  </si>
  <si>
    <t xml:space="preserve">Please Note:
- Criticality from the AESCSF perspective is primarily focused on liquid fuels for domestic use, so please exclude any product that has been/ is going to be exported overseas. 
- 1 Megalitre (ML) = 1 Million Litres (L) (1,000,000) </t>
  </si>
  <si>
    <t>L_STOR.2</t>
  </si>
  <si>
    <t xml:space="preserve">What is the combined average quantity of liquid fuels (in megalitres [ML]) held in reserve over the last financial year?  </t>
  </si>
  <si>
    <t xml:space="preserve">25%
</t>
  </si>
  <si>
    <t xml:space="preserve">According to Australian Petroleum statistics reported by DISER / Energy.gov.au, there are five classifications of Australian-owned liquid fuels stock, separated by location and intended usage. These classifications are as follows: 
- On land in Australia and in Domestic waters (ML) 
- Onboard vessels at sea destined for Australia (ML) 
- Overseas and awaiting delivery to Australia (ML) 
- Held for the Australian market in Australia and overseas (ML) 
- Held for the Australian market in Australia and overseas COE (ML) </t>
  </si>
  <si>
    <t>L_STOR.3</t>
  </si>
  <si>
    <t xml:space="preserve">What is the maximum withdrawal capacity of your organisation’s on-land storage facilities (megalitres per day [ML/d])? </t>
  </si>
  <si>
    <t xml:space="preserve">15%
</t>
  </si>
  <si>
    <t xml:space="preserve">This refers to the maximum amount of product that can be withdrawn from your organisation’s on-land storage facilities (i.e., fuel terminals and depots) in a given day. The maximum withdrawal capacity, or flow rate, is typically dependant on the pressure levels inside the storage with the higher the pressure, the greater the withdrawal capacity. </t>
  </si>
  <si>
    <t>L_STOR.4</t>
  </si>
  <si>
    <t xml:space="preserve">Does your organisation operate any storage facilities that are dedicated to Essential Users? </t>
  </si>
  <si>
    <t xml:space="preserve">10%
</t>
  </si>
  <si>
    <t xml:space="preserve">Does your organisation operate fuel storage facilities (crude or refined) that are dedicated reserves for organisations considered ‘Essential Users’ under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Australian defence services, ambulance services, corrective services, fire or rescue services, police services, public transport services, state emergency services or equivalent organisations, taxi services.
Source: Energy.gov.au, “The Liquid Fuel Emergency Act 1984”, https://www.energy.gov.au/government-priorities/energy-security/energy-emergency-management-forums/liquid-fuels-emergency-act.  </t>
  </si>
  <si>
    <t>L_STOR.5</t>
  </si>
  <si>
    <t xml:space="preserve">This information is used for reporting purposes only and does not influence your organisation’s criticality. Select the primary region that applies. Note: Off-shore water vessels which are en-route to Australia should be marked as ‘Off-shore (water-vessel)', however any other off-shore land-based storage facilities should NOT be included. </t>
  </si>
  <si>
    <t xml:space="preserve">Refinement (L-RFIN) </t>
  </si>
  <si>
    <t>L_RFIN.0</t>
  </si>
  <si>
    <t xml:space="preserve">Does your organisation operate a liquid fuels refinery or manufacturing plant for the Australian domestic market? </t>
  </si>
  <si>
    <t xml:space="preserve">This refers to organisations who operate plants which take crude oil products and refine / manufacture them into refined/finished petroleum products, intended for the Australian domestic market. </t>
  </si>
  <si>
    <t>L_RFIN.1</t>
  </si>
  <si>
    <t xml:space="preserve">What is the total quantity of refined liquid fuels (in megalitres [ML]) that your organisation produced for the Australian domestic market in the last financial year? </t>
  </si>
  <si>
    <t xml:space="preserve">80%
</t>
  </si>
  <si>
    <t>This refers to the total quantity of refined liquid fuel product produced during the most recent financial year (1 July to 30 June) intended for domestic use. Do not include data for the current incomplete financial year. Please note:
- Criticality from the AESCSF perspective is primarily focused on liquid fuels for domestic use, so please exclude any product that has been/ is going to be exported overseas. 
- 1 Megalitre (ML) = 1 Million Litres (L) (1,000,000)</t>
  </si>
  <si>
    <t>L_RFIN.2</t>
  </si>
  <si>
    <t xml:space="preserve">What is the maximum refined/finished liquid fuel product that your organisation’s facilities could produce over 30-day period operating at maximum capacity? </t>
  </si>
  <si>
    <t xml:space="preserve">This refers to the maximum refined/finished liquid fuel product that your facilities can produce over a 30-day (1 month) period if operating at maximum (peak) capacity. 
Please Note: The maximum output should factor in any downtime required during sustained peak output during the 30-day period. </t>
  </si>
  <si>
    <t>L_RFIN.3</t>
  </si>
  <si>
    <t>This information is used for reporting purposes only and does not influence your organisation’s criticality. Select the primary region that applies.</t>
  </si>
  <si>
    <t xml:space="preserve">Wholesale and Retail (L-WHLS) </t>
  </si>
  <si>
    <t>L_WHLS.0</t>
  </si>
  <si>
    <t xml:space="preserve">Is your organisation involved in commercial wholesale and/or public retailing of liquid fuel products for use in the Australian domestic market? </t>
  </si>
  <si>
    <t xml:space="preserve">Wholesalers of liquid fuels typically sell to commercial customers where the product is either on-sold at a mark-up or run back through the supply chain. A retailer purchases refined products from wholesale markets and sells direct to customers. </t>
  </si>
  <si>
    <t>L_WHLS.1</t>
  </si>
  <si>
    <t xml:space="preserve">What is your organisation’s total quantity of liquid fuels sold (in megalitres [ML]) for the Australian domestic market in the last financial year? </t>
  </si>
  <si>
    <t xml:space="preserve">60%
</t>
  </si>
  <si>
    <t>This refers to the combined total liquid fuel products sold during the most recent financial year (1 July to 30 June) which is intended for the Australian domestic market, via one or more of the following: 
- Commercial wholesaling, where applicable; 
- Private trade agreements, where applicable; and 
- Public retailing.</t>
  </si>
  <si>
    <t>Please Note:
- Do not include data for the current incomplete financial year. 
- Criticality from the AESCSF perspective is primarily focused on liquid fuels for domestic use, so please exclude any product that has been/ is going to be exported overseas. 
- 1 Megalitre (ML) = 1 Million Litres (L) (1,000,000).</t>
  </si>
  <si>
    <t>L_WHLS.2</t>
  </si>
  <si>
    <t xml:space="preserve">Of the total quantity of liquid fuels sold for domestic use (above), how much of this was sold to Essential Users? 
 </t>
  </si>
  <si>
    <t xml:space="preserve">Of the total quantity of liquid fuel product sold, what percentage of this was sold to ‘Essential Users’ as defined by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Australian defence services, ambulance services, corrective services, fire or rescue services, police services, public transport services, state emergency services or equivalent organisations, taxi services. Source: Energy.gov.au, “The Liquid Fuel Emergency Act 1984”, https://www.energy.gov.au/government-priorities/energy-security/energy-emergency-management-forums/liquid-fuels-emergency-act  </t>
  </si>
  <si>
    <t>L_WHLS.3</t>
  </si>
  <si>
    <t>What types of product does your organisation sell?</t>
  </si>
  <si>
    <t>Diesel (6%)</t>
  </si>
  <si>
    <t>L_WHLS.3.1</t>
  </si>
  <si>
    <t xml:space="preserve">(Select all that apply) </t>
  </si>
  <si>
    <t>Aviation Fuel (6%) </t>
  </si>
  <si>
    <t>L_WHLS.3.2</t>
  </si>
  <si>
    <t>Petrol (4%) </t>
  </si>
  <si>
    <t>L_WHLS.3.3</t>
  </si>
  <si>
    <t>Crude oil (2%) </t>
  </si>
  <si>
    <t>L_WHLS.3.4</t>
  </si>
  <si>
    <t>Other Fuel products (2%) </t>
  </si>
  <si>
    <t>Additional guidance for each liquid fuel product is provided below: 
- Diesel: Inclusive of all grades of diesel product including distillate. 
- Aviation Fuel: Petroleum/kerosene-based fuels designed for aircraft with additional additives. (cont. right)</t>
  </si>
  <si>
    <t xml:space="preserve">
- Petrol: Consumer grade petroleum-based products, such as 91, 95 and 98 RON Petrol. 
- Crude oil: Unfinished product which has not undergone refinement 
- Other fuel products: Inclusive of all other fuel products, including lubricants </t>
  </si>
  <si>
    <t>L_WHLS.4</t>
  </si>
  <si>
    <t>Objectives and Practices</t>
  </si>
  <si>
    <t>Current State</t>
  </si>
  <si>
    <t>MIL</t>
  </si>
  <si>
    <t>SP</t>
  </si>
  <si>
    <t>RM-1</t>
  </si>
  <si>
    <t>Establish Cyber Security Risk Management Strategy</t>
  </si>
  <si>
    <t>RM-1A</t>
  </si>
  <si>
    <t>There is a documented Cyber Security risk management strategy</t>
  </si>
  <si>
    <t>A Cyber Security risk management strategy describes at a high level how an organisation will identify, assess, prioritise and manage Cyber Security risks. It should:
- Define the activities that the organisation will use to identify cyber security risks;
- Define a methodology for risk assessment/evaluation and prioritisation (considering likelihood and impact);
- Define risk appetite, tolerance and appropriate risk responses (based on risk prioritisation);
- Define the processes and systems/tools to be used to document and monitor identified risks;
- Define a governance structure for how identified risks are to be tracked and reported throughout their lifecycle.</t>
  </si>
  <si>
    <t>RM-1B</t>
  </si>
  <si>
    <t>The Cyber Security risk management strategy provides an approach for risk prioritisation, including consideration of impact</t>
  </si>
  <si>
    <t>Does the Cyber Security risk management strategy in RM-1a define a criteria/framework with which to assess Cyber Security risks to determine an overall risk rating/priority that takes into account the potential likelihood and impact of the risk occurring?</t>
  </si>
  <si>
    <t>RM-1C</t>
  </si>
  <si>
    <t>Organisational risk criteria (objective criteria that the organisation uses for evaluating, categorising, and prioritising operational risks based on impact, tolerance for risk, and risk response approaches) are defined and available</t>
  </si>
  <si>
    <t>The Cyber Security risk management strategy should define (or demonstrate alignment to) the organisation's broader enterprise/corporate risk management framework, including definition of the following:
- Impact categories (e.g. health &amp; safety, reputation, legal, financial, etc.);
- Impact thresholds (e.g. insignificant, low, moderate, high, severe, etc.);
- Likelihood thresholds (e.g. Not likely, possible, almost certain, etc.);
- An overall risk rating matrix;
- Possible risk responses (e.g. mitigate, transfer, avoid, accept);
- Risk tolerance / appetite.</t>
  </si>
  <si>
    <t>RM-1D</t>
  </si>
  <si>
    <t>The Cyber Security risk management strategy is periodically updated to reflect the current threat environment</t>
  </si>
  <si>
    <t>Using Cyber threat information collected (refer TVM-1a), does the organisation update its Cyber Security risk management strategy to ensure that it adequately addresses the evolving Cyber threat landscape?</t>
  </si>
  <si>
    <t>RM-1E</t>
  </si>
  <si>
    <t>An organisation-specific risk taxonomy is documented and is used in risk management activities</t>
  </si>
  <si>
    <t>A risk taxonomy is the definition of a common set of risk categories into a hierarchy, whereby higher-level risks (e.g. those defined in a corporate/strategic risk register) are broken down into more specific/granular risks (e.g. those defined in an operational/tactical risk register).
An example of a simple risk taxonomy may defined the following risk types:
- Confidentiality/Access Risk
- Integrity/Change Risk
- Availability/Continuity Risk
Using a risk taxonomy can help to strengthen and better integrate an organisation's risk assessment and risk management activities, by facilitating the aggregation of risks within defined categories from across the organisation.</t>
  </si>
  <si>
    <t>RM-2</t>
  </si>
  <si>
    <t>Manage Cyber Security Risk</t>
  </si>
  <si>
    <t>RM-2A</t>
  </si>
  <si>
    <t>Cyber Security risks are identified, at least in an ad hoc manner</t>
  </si>
  <si>
    <t>Cyber Security risks may be identified through a variety of mechanisms, including (but not limited to):
- Known Security issues or weaknesses;
- Top-down Cyber risk assessments;
- Security control effectiveness testing / audits;
- Vulnerability assessments or penetration testing;
- Project-based Security architecture / design assessments.</t>
  </si>
  <si>
    <t>RM-2B</t>
  </si>
  <si>
    <t>Identified Cyber Security risks are mitigated, accepted, tolerated, or transferred, at least in an ad hoc manner</t>
  </si>
  <si>
    <t>When Cyber Security risks are identified, does the organisation seek to respond to them in some way?</t>
  </si>
  <si>
    <t>RM-2C</t>
  </si>
  <si>
    <t>Cyber Security risk assessments are performed to identify risks in accordance with the risk management strategy</t>
  </si>
  <si>
    <t>Building on RM-2a, does the organisation perform Cyber Security risk assessments in accordance with its Cyber Security Risk Management Strategy (refer RM-1a)?
RM-1a must be completed as a pre-requisite for this practice.</t>
  </si>
  <si>
    <t>RM-2D</t>
  </si>
  <si>
    <t>Identified Cyber Security risks are documented</t>
  </si>
  <si>
    <t>Risks may be documented in separate artefacts (e.g. risk assessment reports) or centrally in a dedicated risk register (refer RM-2j).</t>
  </si>
  <si>
    <t>RM-2E</t>
  </si>
  <si>
    <t>Identified Cyber Security risks are analysed to prioritise response activities in accordance with the Cyber Security risk management strategy</t>
  </si>
  <si>
    <t>Once a risk has been identified and documented, the guidance in the Cyber Security Risk Management Strategy (refer RM-1a) is used to define the organisation's response to that risk (e.g. avoid, accept, mitigate, transfer).</t>
  </si>
  <si>
    <t>RM-2F</t>
  </si>
  <si>
    <t>Identified Cyber Security risks are monitored in accordance with the Cyber Security risk management strategy</t>
  </si>
  <si>
    <t>Cyber Security risks which have been identified and documented by the organisation are monitored and managed using guidance in the Cyber Security Risk Management Strategy (refer RM-1a). 
This might include periodic re-assessment of the risk in accordance with the changing Cyber threat landscape, testing the effectiveness of mitigating controls, tracking the implementation progress of treatment plans, etc.</t>
  </si>
  <si>
    <t>RM-2G</t>
  </si>
  <si>
    <t>Cyber Security risk analysis is informed by network (IT and/or OT) architecture</t>
  </si>
  <si>
    <t>When the organisation assesses an identified Cyber Security risk, does the assessment take into account  where the risks exists in the context of the organisation's network architecture - taking into account the characteristics and respective risk profiles of the various network zones which may increase or decrease the likelihood or impact the risk being assessed?
For example, the risk of un-encrypted network traffic being intercepted in transit may be lower within an organisation's internal datacentre network zone compared to network traffic transmitted within a semi-trusted zone such as a DMZ or over a wireless network link.</t>
  </si>
  <si>
    <t>RM-2H</t>
  </si>
  <si>
    <t>The Cyber Security risk management program defines and operates risk management policies and procedures that implement the Cyber Security risk management strategy</t>
  </si>
  <si>
    <t>Has the organisation developed policies, processes and procedures to govern the activities described in the Cyber Security Risk Management Strategy (refer RM-1a)?
Examples may include (but are not limited to):
- Policy requirements stating when certain types of Security risk assessments need to occur (e.g. annual penetration testing of Internet-accessible systems);
- Processes to formally define the activities, roles and responsibilities for documenting and tracking identified Cyber Security risks;
- Procedures to provide detailed guidance for how to perform certain Cyber Security risk management activities (e.g. how to configure and run a vulnerability scanning tool).</t>
  </si>
  <si>
    <t>RM-2I</t>
  </si>
  <si>
    <t>A current Cyber Security architecture is used to inform Cyber Security risk analysis</t>
  </si>
  <si>
    <t>Building on RM-2g, when the organisation assesses an identified Cyber Security risk, does the assessment take into account the organisation's Cyber Security controls architecture - taking into account the respective risk profiles of defined Security zones, and the Security controls and services provided within those zones which may mitigate some aspect of the risk being assessed? This may be facilitated by a formally defined Enterprise Security Architecture.
For example, the likelihood of an Internet-based Cyber attack compromising your organisation's OT environment may be lower if your Security architecture provides a defence-in-depth model with multiple layers of Security controls between the Internet and the OT network, compared to the likelihood of that risk occurring if your OT environment is directly-accessible from the Internet.</t>
  </si>
  <si>
    <t>RM-2J</t>
  </si>
  <si>
    <t>A Cyber Security risk register (a structured repository of identified risks) is used to support Cyber Security risk management activities</t>
  </si>
  <si>
    <t>Does the organisation maintain a dedicated risk register where identified Cyber Security risks are captured and maintained? The risk register may be managed informally as a spreadsheet, or more formally as part of an enterprise risk management solution.
As a MIL-3 practice, the expectation here is that Cyber Security risks are represented in an organisation's risk registers at various levels of granularity and in accordance with the organisation's defined Risk Taxonomy (refer RM-1e), e.g. 
- One or more corporate/strategic Cyber Security risks captured in an organisation-level risk register that gets reported to the board;
- Multiple operational/tactical Cyber Security risks captured in department/function-level Security risk registers.</t>
  </si>
  <si>
    <t>RM-AP</t>
  </si>
  <si>
    <t>RM Anti-Patterns</t>
  </si>
  <si>
    <t>RM-AP1</t>
  </si>
  <si>
    <t>Identified risks are not periodically reviewed</t>
  </si>
  <si>
    <t>In order to effectively treat identified risks, it is important that risk governance structures are in place and include regular review of identified cyber security risks.
This may include:
- Validating the appropriateness of inherent and residual risk ratings (including likelihood and consequence ratings);
- Validating risk treatment approaches (planned and current), and;
- Reviewing control effectiveness.</t>
  </si>
  <si>
    <t>RM-AP2</t>
  </si>
  <si>
    <t>Identified cyber security risks remain untreated for long periods of time</t>
  </si>
  <si>
    <t>Identified cyber security risks should be resolved in a manner commensurate with the potential for adverse impact. This may mean that some cyber security risks need to be resolved before other cyber security risks, based on their likelihood and consequence.
You should consider the period of time that a cyber security risk has remained unresolved and ensure that no cyber security risk remains unresolved indefinitely.</t>
  </si>
  <si>
    <t>RM-AP3</t>
  </si>
  <si>
    <t>Assets are risk-assessed in isolation. Interdependencies with other assets are not considered</t>
  </si>
  <si>
    <t>Interconnected assets may carry additional cyber security risk when compared to standalone assets. Additionally, the interconnection itself may be a cyber security risk if not carefully architected.
You should consider other interconnected assets when determining an overall risk rating for an asset.</t>
  </si>
  <si>
    <t>RM-AP4</t>
  </si>
  <si>
    <t>Cyber security risk management activities are not informed and supported by organisational risk criteria (RM-1C)</t>
  </si>
  <si>
    <t>RM-1C must be at least Partially Implemented for this Anti-Pattern to be Not Present.
Cyber security risk management activities should be informed and supported by organisational risk criteria.
This ensures that cyber security risks can be consolidated from many functions, and aggregated into one or many organisational risks. It also ensures a consistent approach to risk assessment and grading is used.</t>
  </si>
  <si>
    <t>CPM-1</t>
  </si>
  <si>
    <t>Establish Cyber Security Program Strategy</t>
  </si>
  <si>
    <t>CPM-1A</t>
  </si>
  <si>
    <t>The organisation has a Cyber Security program strategy, which may be developed and managed in an ad hoc manner</t>
  </si>
  <si>
    <t>Yes</t>
  </si>
  <si>
    <t>Has the organisation defined a series of activities/functions that it will undertake to manage, operate and uplift its Cyber Security capabilities? This might be documented in a formal Cyber Security strategy, or informally in a program of work.</t>
  </si>
  <si>
    <t>CPM-1B</t>
  </si>
  <si>
    <t>The Cyber Security program strategy defines objectives for the organisation's Cyber Security activities</t>
  </si>
  <si>
    <t>Fully Implemented</t>
  </si>
  <si>
    <t>Does the strategy in CPM-1a include define clear objectives for each distinct Cyber Security activity/function? CPM-1a must be completed as a pre-requisite for this practice.
Defining clear objectives enables an organisation to measure and assess whether each Cyber Security activity/function is fulfilling its purpose and providing the value required.</t>
  </si>
  <si>
    <t>CPM-1C</t>
  </si>
  <si>
    <t>The Cyber Security program strategy and priorities are documented and aligned with the organisation's strategic objectives and risk to critical infrastructure</t>
  </si>
  <si>
    <t>Are the objectives defined in the Cyber Security program strategy aligned to the organisation's broader strategic objectives (e.g. values, purpose, guiding principles)? Where the organisation plays a role in critical infrastructure, is this articulated in the Cyber Security strategy, and are the Cyber Security activities/functions defined in a manner that seeks to address the associated risks? CPM-1a must be completed as a pre-requisite for this practice.
Aligning the Cyber Security strategy with an organisation's broader technology and business strategies enables management to articulate how Cyber Security activities/functions are directly contributing to protecting and enabling the organisation's business-critical functions. Demonstrating alignment between Cyber Security and broader organisational objectives also makes it easier to justify requests for funding of specific Cyber Security initiatives.</t>
  </si>
  <si>
    <t>CPM-1D</t>
  </si>
  <si>
    <t>The Cyber Security program strategy defines the organisation's approach to provide program oversight and governance for Cyber Security activities</t>
  </si>
  <si>
    <t>Does the Cyber Security strategy define a clear governance model for how Cyber Security activities/functions will be implemented and managed? This should include accountabilities, roles and responsibilities, as well as governance forums such as program steering committees and Cyber Security working groups, as well as tracking and reporting mechanisms. CPM-1a must be completed as a pre-requisite for this practice.
Without effective governance structures in place, the activities/functions defined in the Cyber Security strategy may not be successfully implemented or realise their full value to the organisation.</t>
  </si>
  <si>
    <t>CPM-1E</t>
  </si>
  <si>
    <t>The Cyber Security program strategy defines the structure and organisation of the Cyber Security program</t>
  </si>
  <si>
    <t>Does the Cyber Security strategy define how the organisation's Cyber Security activities/functions are grouped in terms of organisational structure, accountabilities and reporting lines? Each specific Cyber Security activity/function outlined in the strategy should have an owner defined, and thus a clear 'home' in the organisation's structure. CPM-1a must be completed as a pre-requisite for this practice.
Assigning ownership and accountability for implementation and management of Cyber Security activities/functions provides clarity within an organisation around which teams are responsible for delivering what activities, and how the leadership structure will enable decision-making.</t>
  </si>
  <si>
    <t>CPM-1F</t>
  </si>
  <si>
    <t>The Cyber Security program strategy is approved by senior management</t>
  </si>
  <si>
    <t>Has your Cyber Security strategy been socialised and endorsed/approved by senior management? Who provides this approval may differ between organisations depending on where Cyber Security sits within the organisational structure. Regardless of who provides this approval, the key outcome should be that the Cyber Security program as defined in the strategy is backed by senior leadership and provided with sufficient support in the way of funding, resource allocation and advocacy. CPM-1a must be completed as a pre-requisite for this practice.</t>
  </si>
  <si>
    <t>CPM-1G</t>
  </si>
  <si>
    <t>The Cyber Security program strategy is updated to reflect business changes, changes in the operating environment, and changes in the threat profile (TVM-1d)</t>
  </si>
  <si>
    <t>How often is your Cyber Security strategy refreshed? When it was last reviewed and updated, did you take into account the following:
- Changes in your organisation's structure or activities;
- Changes in the Cyber threat environment;
- Changes in the regulatory environment.
Periodically updating the Cyber Security strategy in response to the above drivers enables an organisation to ensure that its Cyber Security activities/functions continually evolve to address the threats and risks facing the organisation.</t>
  </si>
  <si>
    <t>CPM-2</t>
  </si>
  <si>
    <t>Sponsor Cyber Security Program</t>
  </si>
  <si>
    <t>CPM-2A</t>
  </si>
  <si>
    <t>Resources (people, tools, and funding) are provided, at least in an ad hoc manner, to support the Cyber Security program</t>
  </si>
  <si>
    <t>Do you have staff and funding dedicated to your Cyber Security team/function?</t>
  </si>
  <si>
    <t>CPM-2B</t>
  </si>
  <si>
    <t>Senior management provides sponsorship for the Cyber Security program, at least in an ad hoc manner</t>
  </si>
  <si>
    <t>Do leaders in your organisation generally recognise and communicate the importance of Cyber Security activities/functions within the organisation?</t>
  </si>
  <si>
    <t>CPM-2C</t>
  </si>
  <si>
    <t>The Cyber Security program is established according to the Cyber Security program strategy</t>
  </si>
  <si>
    <t>Does your organisation implement, operate and manage Cyber Security activities/functions in alignment with those defined in the Cyber Security strategy? CPM-1a and CPM-2a must be completed as a pre-requisite for this practice.
Completing this practice ensures that the Cyber Security program of work can achieve the objectives and priorities that it is expected to, according the Cyber Security program strategy.</t>
  </si>
  <si>
    <t>CPM-2D</t>
  </si>
  <si>
    <t>Adequate funding and other resources (i.e., people and tools) are provided to establish and operate a Cyber Security program aligned with the program strategy</t>
  </si>
  <si>
    <t>Building on CPM-2b, does your organisation allocate dedicated funding to ensure that the Cyber Security strategy can be implemented in its entirety? Do you have the right people, technology and resources to sustain your Cyber Security program of work? CPM-1a and CPM-2a must be completed as a pre-requisite for this practice.</t>
  </si>
  <si>
    <t>CPM-2E</t>
  </si>
  <si>
    <t>Senior management sponsorship for the Cyber Security program is visible and active (e.g., the importance and value of Cyber Security activities is regularly communicated by senior management)</t>
  </si>
  <si>
    <t>Do leaders in your organisation actively champion the importance of Cyber Security within the business? Support in this context could include:
- Communicating the importance of Cyber Security in company-wide newsletters or executive communications;
- Providing executive support and funding for Cyber Security awareness initiatives;
- Driving positive Cyber Security behaviours within their respective business teams/functions (outside of the core Cyber Security function);
CPM-2a must be completed as a pre-requisite for this practice.</t>
  </si>
  <si>
    <t>CPM-2F</t>
  </si>
  <si>
    <t>If the organisation develops or procures software, secure software development practices are sponsored as an element of the Cyber Security program</t>
  </si>
  <si>
    <t>Are there teams within your organisation that develop software or implement custom-developed (i.e. not COTS) software? If so, is your Cyber Security function actively involved in those software development/procurement activities to ensure that Cyber Security requirements are identified and understood, and that associated risks are adequately managed? This involvement may be as simple as providing guidance on secure software development practices, or as involved as embedding Security assessments within software development processes (e.g. source code reviews, penetration testing, etc.). 
Embedding Security into software development and procurement activities helps to reduce the risk of Security vulnerabilities being introduced into an organisation's technology environment. Refer to CPM-4: Perform Secure Software Development for more detail.</t>
  </si>
  <si>
    <t>CPM-2G</t>
  </si>
  <si>
    <t>The development and maintenance of Cyber Security policies is sponsored</t>
  </si>
  <si>
    <t>Has your organisation assigned accountabilities, resources and support to ensure that Cyber Security policies are documented, periodically updated and communicated within the organisation? 
Cyber Security policies should support the Cyber Security strategy by defining principles-based requirements for implementing, operating and improving Cyber Security capabilities and controls throughout an organisation.</t>
  </si>
  <si>
    <t>CPM-2H</t>
  </si>
  <si>
    <t>Responsibility for the Cyber Security program is assigned to a role with requisite authority</t>
  </si>
  <si>
    <t>Has the management of your Cyber Security program been specifically assigned to someone? If so, does this person operate in a role or at a level of seniority that carries the appropriate authority to execute the program of work? Responsibility for executing and managing aspects of the Cyber Security program may be distributed across a number of different functions within an organisation, but one person should ultimately be accountable for the program overall. CPM-2a must be completed as a pre-requisite for this practice.
The Cyber Security program will typically be owned by one of the following roles within an organisation: 
- Chief Information Security Officer (CISO)
- Cyber Security Manager
- Cyber Security Program Manager</t>
  </si>
  <si>
    <t>CPM-2I</t>
  </si>
  <si>
    <t>The performance of the Cyber Security program is monitored to ensure it aligns with the Cyber Security program strategy</t>
  </si>
  <si>
    <t>Does the organisation periodically assess its Cyber Security function and program of work to ensure it is delivering against the objectives identified in the overarching strategy? 
This may include the use of formal metrics, monitoring and reporting. Another example may include an organisation conducting an holistic assessment of its Cyber Security capabilities and controls to identify areas for improvement. 
Completing this practice ensures that the organisation's Cyber Security activities ultimately progress towards the desired state.</t>
  </si>
  <si>
    <t>CPM-2J</t>
  </si>
  <si>
    <t>The Cyber Security program is independently reviewed (i.e., by reviewers who are not in the program) for achievement of Cyber Security program objectives</t>
  </si>
  <si>
    <t>Does your organisation conduct independent (internal or external) reviews of the Cyber Security program? If so, does this review consider whether Cyber Security program objectives have been met?
Independent reviews are particularly useful in that they provide an unbiased opinion on the level of success of an organisation's Cyber Security program.</t>
  </si>
  <si>
    <t>CPM-2K</t>
  </si>
  <si>
    <t>The Cyber Security program addresses and enables the achievement of regulatory compliance as appropriate</t>
  </si>
  <si>
    <t>Is your organisation subject to any technology-related regulatory requirements that impact (or are supported by) Cyber Security activities/functions? Examples may include:
- Market license conditions;
- Notifiable Data Breaches scheme (NDB);
- Australian Privacy Act;
- General Data Protection Regulation (GDPR);
- PCI-DSS.
If so, has your organisation identified these requirements and captured them in a way that they can be managed and assessed for compliance? This may take the form of a technology legal/regulatory compliance program.</t>
  </si>
  <si>
    <t>CPM-2L</t>
  </si>
  <si>
    <t>The Cyber Security program monitors and/or participates in selected industry Cyber Security standards or initiatives</t>
  </si>
  <si>
    <t>Does your organisation's Cyber Security program seek alignment with particular industry standards? Examples may include: 
- ISO/IEC 27001
- NIST SP 800-53
- ISA 62443
Alternatively, does your organisation seek to participate in the development and review of such standards, or other industry-led Cyber Security forums / working groups?</t>
  </si>
  <si>
    <t>CPM-3</t>
  </si>
  <si>
    <t>Establish and Maintain Cyber Security Architecture</t>
  </si>
  <si>
    <t>CPM-3A</t>
  </si>
  <si>
    <t>A strategy to architecturally isolate the organisation's IT systems from OT systems is implemented, at least in an ad hoc manner</t>
  </si>
  <si>
    <t>Has your organisation attempted to segregate its IT and OT environments in any way? This could include physical segregation (i.e. using separate hardware and equipment), or logical segregation (i.e. via locating systems in separate network zones with access controls enforced between zones).
When assessing network segregation activities, consider the following;
- Is any aspect of your Operational Technology (OT) or Industrial Control Systems (ICS) directly accessible from the Internet (e.g. via a web portal)?
- Is there any network connectivity between your OT / ICS environment and your IT environment?
- Where you operate other services (e.g. Telecommunications, Data Centres), is there any network connectivity between these services and your OT / ICS / IT environments?</t>
  </si>
  <si>
    <t>CPM-3B</t>
  </si>
  <si>
    <t>A Cyber Security architecture is in place to enable segmentation, isolation, and other requirements that support the Cyber Security strategy</t>
  </si>
  <si>
    <t>Has your organisation implemented Cyber Security controls to enforce the segregation of IT and OT environments (refer CPM-3a)? These controls may include network segmentation and access control, network traffic filtering, identity &amp; access management, etc. CPM-3a must be completed as a pre-requisite for this practice.</t>
  </si>
  <si>
    <t>CPM-3C</t>
  </si>
  <si>
    <t>Architectural segmentation and isolation is maintained according to a documented plan</t>
  </si>
  <si>
    <t>Has your organisation documented a Cyber Security architecture (aka Enterprise Security Architecture) to inform the segregation of IT and OT environments in CPM-3a? A Cyber Security architecture typically defines a logical Security zone model, the Security services available within each zone, and the Security controls to be applied to systems and communications within (and between) these Security zones. CPM-3a must be completed as a pre-requisite for this practice.</t>
  </si>
  <si>
    <t>CPM-3D</t>
  </si>
  <si>
    <t>Cyber Security architecture is updated at an organisation-defined frequency to keep it current</t>
  </si>
  <si>
    <t>Does your organisation update the Cyber Security architecture (documented in CPM-3c) at a defined interval? 
Cyber Security architectures should be reviewed and updated periodically to ensure they continue to adequately address the relevant Cyber threats and risks facing an organisation.</t>
  </si>
  <si>
    <t>CPM-4</t>
  </si>
  <si>
    <t>Perform Secure Software Development</t>
  </si>
  <si>
    <t>CPM-4A</t>
  </si>
  <si>
    <t>Software to be deployed on assets that are important to the delivery of the function is developed using secure software development practices</t>
  </si>
  <si>
    <t>Before deploying new/changed software to technology assets that support critical business functions, does your organisation seek to gain comfort that the software has been developed securely, and that its deployment will not introduce any Security weakness/vulnerability into the asset? This may involve performing a range of Cyber Security activities, including:
- Embedding secure software development principles into the software development lifecycle;
- Source code reviews;
- Automated code testing (e.g. fuzzing);
- Vulnerability scanning or penetration testing.
Embedding Security into software development and procurement activities helps to reduce the risk of Security vulnerabilities being introduced into an organisation's technology environment.</t>
  </si>
  <si>
    <t>CPM-4B</t>
  </si>
  <si>
    <t>Policies require that software that is to be deployed on assets that are important to the delivery of the function be developed using secure software development practices</t>
  </si>
  <si>
    <t>Has your organisation defined formal policy requirements that any software which will be deployed to critical technology assets is developed securely and subject to Cyber Security assessment (refer CPM-4a)?
Defining requirements in policy helps to drive the implementation and enforcement of behaviours within an organisation.</t>
  </si>
  <si>
    <t>CPM-AP</t>
  </si>
  <si>
    <t>CPM Anti-Patterns</t>
  </si>
  <si>
    <t>CPM-AP1</t>
  </si>
  <si>
    <t>Operational assets can route traffic directly to the Internet</t>
  </si>
  <si>
    <t>Not Present - Not Applicable</t>
  </si>
  <si>
    <t>If an operational asset (such as a network, system, or application) has the ability to route traffic directly to the Internet, a malicious threat actor may be able to utilise that connection to access, and gain remote control of that asset without your knowledge or consent.
Direct Internet access refers to access that is uncontrolled or circumvents network security controls. An example of direct Internet access includes any instances where operational assets (including field devices) have been equipped with an uncontrolled cellular data connection.
You should consider defence-in-depth approaches when securing operational assets. This may include the complete segregation of network traffic between operational assets and other technology assets.</t>
  </si>
  <si>
    <t>CPM-AP2</t>
  </si>
  <si>
    <t>Remote or third-party access to assets circumvents network security controls</t>
  </si>
  <si>
    <t>Present - Risk Accepted</t>
  </si>
  <si>
    <t>Building on CPM-AP1, you should apply defence-in-depth approaches when securing operational assets. This should be consistently applied for all types of identities (users) and levels of access.
For example, operational assets (including field devices) that are equipped with cellular connections to enable direct remote support over the Internet may indicate that remote access or third-party access to that asset circumvents your network security controls.
Remote access or third-party access may represent a higher risk to your organisation, so it is important that network security controls are applied consistently.</t>
  </si>
  <si>
    <t>CPM-AP3</t>
  </si>
  <si>
    <t>Critical assets cannot be isolated from non-critical assets in response to a cyber security threat or incident</t>
  </si>
  <si>
    <t>In the event of a serious cyber security incident, having the ability to isolate critical assets (such as networks, systems, and applications required to continue operating important business functions) from other non-critical assets may be required to protect against the propagation of malware or other threats.</t>
  </si>
  <si>
    <t>Asset, Change and Configuration Management (ACM)</t>
  </si>
  <si>
    <t>ACM-1</t>
  </si>
  <si>
    <t>Manage Asset Inventory</t>
  </si>
  <si>
    <t>ACM-1A</t>
  </si>
  <si>
    <t>There is an inventory of OT and IT assets that are important to the delivery of the function; management of the inventory may be ad hoc</t>
  </si>
  <si>
    <t>Have you recorded the technology assets that exist within your organisation? Asset inventories may be centralised (e.g. in an asset management system), or be maintained separately within each function. This includes technology assets within Operational Technology (OT) environments, including Industrial Control Systems (ICS).
Recording technology assets in an inventory enables an organisation to maintain visibility of what systems and equipment exist, what their purpose is, who owns them, where they are located and other useful information to support the management of those assets throughout their lifecycle.</t>
  </si>
  <si>
    <t>ACM-1B</t>
  </si>
  <si>
    <t>There is an inventory of information assets that are important to the delivery of the function (e.g., SCADA set points, customer information, financial data); management of the inventory may be ad hoc</t>
  </si>
  <si>
    <t>Have you recorded the information assets that exist within your organisation? Asset inventories may be centralised (e.g. in an information management system), or be maintained separately within each function.
This practice may be performed as part of an organisation's broader Information Management function.
Recording information assets in an inventory enables an organisation to maintain visibility of what data exists, how important it is to the business, who owns it, and other useful information to support the management of the asset throughout its lifecycle.</t>
  </si>
  <si>
    <t>ACM-1C</t>
  </si>
  <si>
    <t>Inventory attributes include information to support the Cyber Security strategy (e.g., location, asset owner, applicable Security requirements, service dependencies, service level agreements, and conformance of assets to relevant industry standards)</t>
  </si>
  <si>
    <t>Building on ACM-1a and ACM-1b, do your asset inventories contain sufficient information about each asset to enable you to adequately secure those assets throughout their lifecycle?
This information may include (but is not limited to) the purpose of the asset, technology environment where the asset exists, support method for the asset (e.g. wholly in-house, vendor-supported, vendor-managed).</t>
  </si>
  <si>
    <t>ACM-1D</t>
  </si>
  <si>
    <t>Inventoried assets are prioritised based on their importance to the delivery of the function</t>
  </si>
  <si>
    <t>Have you established the importance of each inventoried asset in supporting business-critical activities? Examples of asset prioritisation may include:
- Assigning a business criticality rating based on the results of a Business Impact Assessment (BIA);
- Assigning a Security classification rating based on an organisation's Security classification framework.
By understanding the importance of an asset, organisations are able to determine the level of Security protection which that asset requires.</t>
  </si>
  <si>
    <t>ACM-1E</t>
  </si>
  <si>
    <t>There is an inventory for all connected IT and OT assets related to the delivery of the function</t>
  </si>
  <si>
    <t>Has the organisation documented how technology assets within each function are physically and logically interconnected? This may take the form of data flow diagrams and/or network diagrams. 
Additionally, this practice could involve documenting the relationships between technology assets (including at the component level) and the services which they support.
At MIL-3, an organisation should have a thorough understanding of the relationships and interdependencies of technology assets relating to the delivery of the function.</t>
  </si>
  <si>
    <t>ACM-1F</t>
  </si>
  <si>
    <t>The asset inventory is current (as defined by the organisation)</t>
  </si>
  <si>
    <t>Has your organisation defined a requirement for how often the asset inventory should be updated? If so, has the inventory been updated in accordance with this requirement?
Asset inventories may be updated manually (e.g. via physical asset audits) or automatically (e.g. via automated asset discovery scanning).</t>
  </si>
  <si>
    <t>ACM-2</t>
  </si>
  <si>
    <t>Manage Asset Configuration</t>
  </si>
  <si>
    <t>ACM-2A</t>
  </si>
  <si>
    <t>Configuration baselines are established, at least in an ad hoc manner, for inventoried assets where it is desirable to ensure that multiple assets are configured similarly</t>
  </si>
  <si>
    <t>Have you defined a list of settings that you can use to consistently configure multiple assets of the same type?
This may take the form of system build checklists, configuration snapshots or images.</t>
  </si>
  <si>
    <t>ACM-2B</t>
  </si>
  <si>
    <t>Configuration baselines are used, at least in an ad hoc manner, to configure assets at deployment</t>
  </si>
  <si>
    <t>When deploying multiple assets that are required to operate the same way, do you apply the settings identified in ACM-2a?</t>
  </si>
  <si>
    <t>ACM-2C</t>
  </si>
  <si>
    <t>The design of configuration baselines includes Cyber Security objectives</t>
  </si>
  <si>
    <t>In developing the configuration baselines in ACM-2a, did you consider any applicable Security requirements and settings? 
Common examples include disabling built-in/default user accounts, changing default passwords, disabling unnecessary or deprecated services, configuring secure remote access methods, hardening configurations, etc. 
Mis-configured assets can introduce Security weaknesses which may be exploited. Equipment vendors and independent industry bodies have defined good-practice consensus configuration baselines for a range of common technology systems and platforms.</t>
  </si>
  <si>
    <t>ACM-2D</t>
  </si>
  <si>
    <t>Configuration of assets are monitored for consistency with baselines throughout the assets' life cycle</t>
  </si>
  <si>
    <t>Do you check whether assets that have been configured using a baseline remain consistent with that baseline over time?
These checks may be manually performed, aided by an assessment tool, or automated as part of a more mature configuration management solution.</t>
  </si>
  <si>
    <t>ACM-2E</t>
  </si>
  <si>
    <t>Configuration baselines are reviewed and updated at an organisationally-defined frequency</t>
  </si>
  <si>
    <t>Has your organisation defined a requirement for how often configuration baselines should be reviewed and updated? If so, have your configuration baselines been reviewed and updated in accordance with this requirement?
Asset configurations may need to be adjusted over time in order to address the changing Security threat landscape. E.g. certain configurations may be found to be unsecure due to previously-unidentified vulnerabilities.</t>
  </si>
  <si>
    <t>ACM-3</t>
  </si>
  <si>
    <t>Manage Changes to Assets</t>
  </si>
  <si>
    <t>ACM-3A</t>
  </si>
  <si>
    <t>Changes to inventoried assets are evaluated, at least in an ad hoc manner, before being implemented</t>
  </si>
  <si>
    <t>Before making a change to an asset, do you try and understand the nature and potential adverse impact of the change?</t>
  </si>
  <si>
    <t>ACM-3B</t>
  </si>
  <si>
    <t>Changes to inventoried assets are logged, at least in an ad hoc manner</t>
  </si>
  <si>
    <t>Do you keep track of the changes you make to assets within your organisation? This might include documenting a change as part of a formal change management system, or capturing modifications made via maintenance records, etc.</t>
  </si>
  <si>
    <t>ACM-3C</t>
  </si>
  <si>
    <t>Changes to assets are tested prior to being deployed, whenever possible</t>
  </si>
  <si>
    <t>Changes made to assets may have adverse impacts on their integrity or performance. As such, it is important where possible to test planned changes prior to deployment to ensure they will not have unexpected consequences.
This may include testing planned changes in a development, test or pre-production environment.</t>
  </si>
  <si>
    <t>ACM-3D</t>
  </si>
  <si>
    <t>Change management practices address the full life cycle of assets (i.e., acquisition, deployment, operation, retirement)</t>
  </si>
  <si>
    <t>Does your organisation have a formal change management process? If so, does it account for the full life cycle of an asset?
This may include:
- Changes introduced by the implementation or deployment of a new asset;
- Changes made to operational assets as part of scheduled maintenance;
- Changes made to operational assets in response to issues (e.g. break-fix) or incidents;
- Changes made to operational environments as part of asset decommissioning activities.</t>
  </si>
  <si>
    <t>ACM-3E</t>
  </si>
  <si>
    <t>Changes to assets are tested for Cyber Security impact prior to being deployed</t>
  </si>
  <si>
    <t>Changes to assets may introduce Security weaknesses which could be exploited. As such, it is important to identify potentially risky changes and test them to gain comfort that they will not adversely impact the Security of an asset. 
Have you identified particular types of high-risk changes that require Security assessment prior to deployment? Examples may include:
- Firewall rule changes;
- Changes made to Internet-facing web applications;
- Network perimeter routing configuration changes.
How changes are tested for Security impact may differ depending on the type of change, for example:
- Secure code review or code scanning;
- Vulnerability scanning or penetration testing;
- Secure configuration reviews;
- Security architecture / design assessments.</t>
  </si>
  <si>
    <t>ACM-3F</t>
  </si>
  <si>
    <t>Change logs include information about modifications that impact the Cyber Security requirements of assets (availability, integrity, confidentiality)</t>
  </si>
  <si>
    <t>When a change is identified as impacting the Security of an asset, does the change assessment (and change ticket/log) explicitly capture the nature and/or magnitude of the impact in terms of confidentiality, integrity and availability?</t>
  </si>
  <si>
    <t>ACM-AP</t>
  </si>
  <si>
    <t>ACM Anti-Patterns</t>
  </si>
  <si>
    <t>ACM-AP1</t>
  </si>
  <si>
    <t>Changes to Internet-facing assets are not assessed or tested to identify potential cyber security vulnerabilities arising from the change itself, prior to implementation</t>
  </si>
  <si>
    <t>Internet-facing assets (such as networks, systems, and applications) may be accessible to anyone on the Internet, which can increase the level of attention that they receive from malicious threat actors.
As a result, you should test and validate changes affecting an Internet-facing asset, ensuring that the change does not introduce cyber security vulnerabilities that could be exploited.</t>
  </si>
  <si>
    <t>ACM-AP2</t>
  </si>
  <si>
    <t>The management of asset inventories is not linked to data governance or business impact assessment activities</t>
  </si>
  <si>
    <t>Asset inventories are used as a source of truth to support other business activities.
As a result, the management of your asset inventories should be linked to data governance or business impact assessment (BIA) activities, to provide confidence that the inventories contain accurate and complete information.
BIAs support you in determining which assets the organisation considers to be critical and/or sensitive.</t>
  </si>
  <si>
    <t>ACM-AP3</t>
  </si>
  <si>
    <t>Asset inventories have not been updated in the past 24 months</t>
  </si>
  <si>
    <t>Building on ACM-AP2, asset inventories are used as a source of truth to support other business activities, such as:
- Configuration and change management
- Threat and vulnerability management
- Backup management
- Service continuity and disaster recovery.
Given the reliance on asset inventories, it is important that they are periodically updated to reflect the changing organisational environment. According to the Australian Cyber Security Centre (ACSC), asset inventories should be updated at least every 24 months, however a higher frequency is recommended.</t>
  </si>
  <si>
    <t>IAM-1</t>
  </si>
  <si>
    <t>Establish and Maintain Identities</t>
  </si>
  <si>
    <t>IAM-1A</t>
  </si>
  <si>
    <t>Identities are provisioned, at least in an ad hoc manner, for personnel and other entities (e.g., services, devices) who require access to assets (note that this does not preclude shared identities)</t>
  </si>
  <si>
    <t>Do you create user identities and accounts for people who need access to technology assets and systems within your organisation?
Any access to a technology asset should be able to be attributed to a specific user identity/account (even if the account is a system account or an account shared by multiple people), and ultimately to someone who is accountable for that identity/account.</t>
  </si>
  <si>
    <t>IAM-1B</t>
  </si>
  <si>
    <t>Credentials are issued, at least in an ad hoc manner, for personnel and other entities that require access to assets (e.g., passwords, smart cards, certificates, keys)</t>
  </si>
  <si>
    <t>Do you seek to prevent unauthorised access to technology assets and systems using any of the following types of credentials?
- Passwords
- PIN codes
- Digital certificates
- Physical tokens
- Smart Cards
- Biometrics</t>
  </si>
  <si>
    <t>IAM-1C</t>
  </si>
  <si>
    <t>Identities are deprovisioned, at least in an ad hoc manner, when no longer required</t>
  </si>
  <si>
    <t>Do you disable/remove user identities and accounts that are associated with personnel who no longer require them (e.g. due to employment termination)?</t>
  </si>
  <si>
    <t>IAM-1D</t>
  </si>
  <si>
    <t>Identity repositories are periodically reviewed and updated to ensure validity (i.e., to ensure that the identities still need access)</t>
  </si>
  <si>
    <t>Do you review identity repositories (e.g. Active Directory, or a dedicated Identity Management system) to ensure they are still current? If these reviews highlight identities which are no longer required (e.g. a user has left the organisation but their identity and accounts are still active), do you update the repository (e.g. by disabling or removing the identity)?
As the source of truth for who has access to technology networks and systems within your organisation, it's important that identity repositories are kept accurate and up-to-date. Completing this practice is required to support access management activities in the next objective, IAM-2.</t>
  </si>
  <si>
    <t>IAM-1E</t>
  </si>
  <si>
    <t>Credentials are periodically reviewed to ensure that they are associated with the correct person or entity</t>
  </si>
  <si>
    <t>Do you check that access credentials (e.g. accounts, smart cards, certificates, keys or other credentials from IAM-1b) are linked to the right identity/user? Do you do this at  a defined interval (i.e. periodically)?
Credentials are essential to controlling and restricting access to assets and systems. Completing this practice enables an organisation to ensure that credentials (and by extension the access that they grant) are assigned to the right individuals and entities.</t>
  </si>
  <si>
    <t>IAM-1F</t>
  </si>
  <si>
    <t>Identities are deprovisioned within organisationally defined time thresholds when no longer required</t>
  </si>
  <si>
    <t>Building on IAM-1d, once it is known that an identity no longer requires access (e.g. due to a user having left the organisation), do you deprovision (i.e. disconnect, disable or remove) that identity within a certain timeframe (e.g. 48 hours)? Have you defined the required deprovisioning timeframes for different types of access (e.g. Active Directory / network access, remote access, email accounts, mobile device accounts, etc.)?
Completing this practice enables an organisation to ensure that access is removed in a timely manner from individuals and entities that no longer require it.</t>
  </si>
  <si>
    <t>IAM-1G</t>
  </si>
  <si>
    <t>Requirements for credentials are informed by the organisation's risk criteria (e.g., multifactor credentials for higher risk access) (RM-1c)</t>
  </si>
  <si>
    <t>Do you implement stronger authentication controls for access to higher-risk technology assets and systems? Such controls may include: 
- Requiring passwords to be longer and more complex than normal;
- Requiring multi-factor authentication (e.g. password + one-time PIN);
- Limiting the time that successful authentication events are valid for. 
If so, are higher-risk assets and systems identified using the organisation's defined risk criteria?</t>
  </si>
  <si>
    <t>IAM-2</t>
  </si>
  <si>
    <t>Control Access</t>
  </si>
  <si>
    <t>IAM-2A</t>
  </si>
  <si>
    <t>Access requirements, including those for remote access, are determined</t>
  </si>
  <si>
    <t>Establishing organisational and function-specific access requirements is critical. Access can be either:
- physical, such as a person entering and being physically present in a location, and (or);
- logical, such as an identity (user) logging in to (accessing) assets (such as networks, systems, and applications).
Has your organisation determined: 
1) Who should have access to specific technology and operational assets, and;
2) How these assets should be accessed?</t>
  </si>
  <si>
    <t>IAM-2B</t>
  </si>
  <si>
    <t>Access is granted to identities, at least in an ad hoc manner, based on requirements</t>
  </si>
  <si>
    <t>Before giving someone access to a technology asset or system, do you first identify whether there is a genuine requirement for that person to have that access?</t>
  </si>
  <si>
    <t>IAM-2C</t>
  </si>
  <si>
    <t>Access is revoked, at least in an ad hoc manner, when no longer required</t>
  </si>
  <si>
    <t>When a person no longer requires access to a particular asset (such as a network, system, or application), do you disable and remove that specific access? Additionally, do you ensure that physical access granted through keys etc. is revoked (by ensuring the key is returned to its custodian)?
In addition to revoking general access and disabling associated identities (users) when an individual's employment is terminated, this practice also involves disabling and removing access to specific assets (e.g. if a user changes roles within an organisation and no longer required it).
Where an identity (user) record directly provides access to assets (e.g. an Active Directory account), deprovisioning the identity would remove associated general access to assets, satisfying the intent of this practice.</t>
  </si>
  <si>
    <t>IAM-2D</t>
  </si>
  <si>
    <t>Access requirements incorporate least privilege and separation of duties principles</t>
  </si>
  <si>
    <t>Do you give people the least amount of access that they need to perform their role? 
Do you identify particular combinations of access that might result in a conflict of interest scenario (e.g. the ability to create a request and approve that same request), and seek to prevent people from being given that type of access?</t>
  </si>
  <si>
    <t>IAM-2E</t>
  </si>
  <si>
    <t>Access requests are reviewed and approved by the asset owner</t>
  </si>
  <si>
    <t>When someone requests access to an asset or system, does someone else with authority over that system (e.g. asset owner, business application owner, etc.) review and approve the request before the access is provided?</t>
  </si>
  <si>
    <t>IAM-2F</t>
  </si>
  <si>
    <t>Root privileges, administrative access, emergency access, and shared accounts receive additional scrutiny and monitoring</t>
  </si>
  <si>
    <t>These types of access pose a greater Cyber Security risk to an organisation, and as such they should be subject to stronger Security controls, including (where feasible and deemed appropriate):
- Additional approvals required (e.g. Line Manager AND System Owner) prior to access being provisioned;
- More frequent revalidation of user access;
- Longer and more complex passwords;
- Multi-factor authentication;
- Time-limited access sessions (e.g. via forced session timeout);
- More detailed and granular Security event logging;
- Monitoring for specific Security events associated with misuse of privileged access.</t>
  </si>
  <si>
    <t>IAM-2G</t>
  </si>
  <si>
    <t>Access privileges are reviewed and updated to ensure validity, at an organisationally defined frequency</t>
  </si>
  <si>
    <t>Does your organisation periodically review the existing access granted to people to determine whether they still require that access? 
If your organisation only performs these reviews in an ad-hoc manner (i.e. not in accordance with a defined frequency/schedule), this practice is considered incomplete.</t>
  </si>
  <si>
    <t>IAM-2H</t>
  </si>
  <si>
    <t>Access to assets is granted by the asset owner based on risk to the function</t>
  </si>
  <si>
    <t>Building on IAM-2e, does the asset/system owner use risk management guidance from RM-1 and RM-2 to approve or deny access requests? IAM-2e must be completed as a pre-requisite for this practice.
Adopting a risk-based approach toward approving or denying access requests enables an organisation to manage access to systems within its risk tolerance/threshold.</t>
  </si>
  <si>
    <t>IAM-2I</t>
  </si>
  <si>
    <t>Anomalous access attempts are monitored as indicators of Cyber Security events</t>
  </si>
  <si>
    <t>As part of the Security event logging and monitoring performed in SA-1a, do you log and monitor unusual/suspicious access attempts? Examples may include:
- A large number of repeated unsuccessful authentication attempts in a short space of time (an indicator of a brute-force attack taking place);
- Authentication events outside of normal business hours (or outside of an established baseline of normal behaviour).
This practices supports the effectiveness of the Common Operating Picture (COP) in SA-3.</t>
  </si>
  <si>
    <t>IAM-AP</t>
  </si>
  <si>
    <t>IAM Anti-Patterns</t>
  </si>
  <si>
    <t>IAM-AP1</t>
  </si>
  <si>
    <t>Identities (users) are created, and access to assets is provisioned, before confirming if the identity (user) has a genuine need for access</t>
  </si>
  <si>
    <t>Identities (users) are the means used to enable access to assets (such as networks, systems, and applications).
It is important that access provisioning follows the principle of least privilege. This means it is important that:
(a) identities (users) are only created for individuals with a genuine business need for access, and;
(b) access is only provisioned to identities (users) after the requirement for the level of access has been established.</t>
  </si>
  <si>
    <t>IAM-AP2</t>
  </si>
  <si>
    <t>A complete and current register of identities (users) with privileged access is not maintained</t>
  </si>
  <si>
    <t>Privileged access, such as an administrator account, represents a higher level of risk to the function, given the potential for an administrator to make broad and irreversible changes to assets (such as networks, systems, and applications).
To support privileged access management activities, you should:
- Ensure that identities (users) provisioned privilege access are recorded within a privileged access register maintained separately from the master access control lists retained on individual assets;
- Automate and optimise the steps taken to ensure that the register of identities (users) with privileged access is maintained; and
- Establish a periodicity within which privileged access reviews are to be completed with reference the register.</t>
  </si>
  <si>
    <t>IAM-AP3</t>
  </si>
  <si>
    <t>Identity (user) deprovisioning is not informed and supported by organisational risk criteria (RM-1C)</t>
  </si>
  <si>
    <t>RM-1C must be at least Partially Implemented for this Anti-Pattern to be Not Present.
Deprovisioning of access (both at the point of employment termination and with a role change) should follow a defined process that includes consideration of organisational risk criteria.
This may include:
- Deprovisioning privileged access as a priority;
- Validating that all access to critical assets is deprovisioned
- Ensuring that identities (users) in Active Directory do not remain active indefinitely;
- Expediting the deprovisioning of access under extenuating circumstances surrounding employment termination.</t>
  </si>
  <si>
    <t>IAM-AP4</t>
  </si>
  <si>
    <t>Non-public, Internet-facing assets can be accessed using single-factor authentication</t>
  </si>
  <si>
    <t>Providing remote access to any type of asset over the Internet is risky, and should not be taken lightly. A common method of reducing this risk is to use multi-factor authentication.
Multi-factor authentication often involves the use of passphrases in addition to one or more of the following multi-factor authentication methods every time a user logs into an asset:
- Universal 2nd Factor (U2F) security keys;
- physical one-time PIN (OTP) tokens;
- biometrics;
- smartcards;
- mobile apps;
- Short Message Service (SMS) messages, emails or voice calls, or;
- software certificates.
If an authentication method at any time offers a user the ability to reduce the number of authentication factors to a single factor it is by definition no longer a multi-factor authentication method. A common example of this is when a user is offered the ability to ‘remember this computer’ for a public web resource.
The Australian Cyber Security Centre (ACSC) recommends the use of multi-factor authentication as one of their Essential Eight strategies to Mitigate Cyber Security Incidents - advising that it is one of the most effective controls that an organisation can implement to prevent an adversary from gaining access to an asset.
Source: ACSC Implementing Multi-Factor Authentication</t>
  </si>
  <si>
    <t>IAM-AP5</t>
  </si>
  <si>
    <t>Privileged access to one or more assets is provisioned by default</t>
  </si>
  <si>
    <t>Privileged access to assets (such as networks, systems, and applications) enables identities (users) to bypass security controls and can cause more severe impact to the business if the account is compromised or misused (including accidentally).
As a result, it is important that access provisioning follows the principle of least privilege. This means that identities (users) should only be granted privileged access following validation of a genuine business need, and not by default.
For example, if an identity (user) is provisioned with administrator access on their corporate computer by default, that would indicate that this Anti-Pattern is Present.</t>
  </si>
  <si>
    <t>IAM-AP6</t>
  </si>
  <si>
    <t>Identities (users) have been provisioned with access to assets which breaches a segregation of duties requirement</t>
  </si>
  <si>
    <t>Segregation of duties is an important access control principle designed to prevent identities (users) from bypassing validation and verification checks when performing actions, and significantly limits the potential for unauthorised activity.
Segregation of duty violations must be identified and mitigated, given the increased risk that they present to business activities.
Example activities that indicate this Anti-Pattern is Present include:
- if an identity (user) has the ability to both create and approve a request for access to assets (such as networks, systems, and applications), or;
- if an employee has the ability to request and approve a configuration change to a critical asset.
For both of these examples, segregation of duties would suggest that another employee or process be inserted between the create/request and approve actions to ensure that there has been sufficient oversight.</t>
  </si>
  <si>
    <t>IAM-AP7</t>
  </si>
  <si>
    <t>Identities (users) cannot be individually identified and attributed to a person</t>
  </si>
  <si>
    <t>Organisations need to be able to uniquely identify individuals who use assets (such as networks, systems, and applications) relevant to the function. This involves consideration of the principles of attribution and non-repudiation.
Without the ability to distinguish identities (users) between individuals, anonymous users can perform malicious or illegal activity without their actions being linked back to them.
For the context of this Anti-Pattern:
- service accounts should be considered, and each service account should be associated with (owned by) an individual.
- generic accounts can still be utilised provided a secondary means of attribution exists for any actions performed (eg via privileged session management controls).</t>
  </si>
  <si>
    <t>IAM-AP8</t>
  </si>
  <si>
    <t>Unusual or suspicious access to assets is not monitored by security monitoring solutions</t>
  </si>
  <si>
    <t>Identities (users) are the means used to provision access to assets (such as networks, systems, and applications). It is important that security monitoring solutions, such as a SIEM (Security Information and Event Management) tool, are actively used to monitor identities (users) for suspicious or unusual activity.
This may include consideration of behavioural trends such as: 
- Identities (users) authenticating from overseas locations where the organisation does not have a presence;
- Volumes of unsuccessful authentication attempts (either in short bursts, or over a longer period of time); and
- The time of day (or night) that the identity (user) is active.</t>
  </si>
  <si>
    <t>IAM-AP9</t>
  </si>
  <si>
    <t>Unknown or unauthorised identities (users) and assets can connect to known assets</t>
  </si>
  <si>
    <t>Each identity (user) should be authorised before being provisioned with access to assets (such as networks, systems, and applications).
This excludes Guest wireless network access, which provides Internet access only, and does not allow access to other organisational assets.
An example of an unauthorised asset is an employee’s personal computer that is not managed by the function. Remote desktop access from an unauthorised asset should be considered when assessing this Anti-Pattern.</t>
  </si>
  <si>
    <t>IAM-AP10</t>
  </si>
  <si>
    <t>The continued need for an identity (user) to have access to an asset is not validated when identity (user) repositories are reviewed</t>
  </si>
  <si>
    <t>The objective of a user access review is to assess the appropriateness of access that has been provisioned to identities (users). It also involves checking whether any access to assets (such as networks, systems, and applications) is commensurate with their role and duties within the function.
Access reviews should follow the principle of least privilege, and complete access validation beyond a basic check of whether the individual associated with an identity (user) is still employed by the function.
For example, if the review only checks whether the user is still active within the organisation, and not whether there is a continued need for the access, that would indicate that this Anti-Pattern is Present.</t>
  </si>
  <si>
    <t>IAM-AP11</t>
  </si>
  <si>
    <t>Identities (users) are not prohibited (by organisational policy) from connecting to critical assets using unknown or unauthorised assets</t>
  </si>
  <si>
    <t>In addition to logical and physical access controls (IAM-AP9), organisational policy should make it clear to personnel that they are prohibited from accessing critical assets using unknown or unauthorised assets.
An example of an unauthorised asset is an employee’s personal computer that is not managed by the function. Remote desktop access from an unauthorised asset should be considered when assessing this Anti-Pattern.
Note that by design, some platforms such as Microsoft Outlook Web Access are intended to be accessed on non-managed devices. Such use cases should not affect the assessment of this Anti-Pattern.</t>
  </si>
  <si>
    <t>ISC-1</t>
  </si>
  <si>
    <t>Share Cyber Security Information</t>
  </si>
  <si>
    <t>ISC-1A</t>
  </si>
  <si>
    <t>Information is collected from and provided to selected individuals and/or organisations, at least in an ad hoc manner</t>
  </si>
  <si>
    <t>Many organisations already produce and share Cyber threat information internally. For example, a Security team may identify malicious files on a compromised system when responding to an incident and produce an associated set of indicators (e.g., file names, sizes, hash values). These indicators might then be shared with system administrators who configure Security tools, such as intrusion detection systems, to detect the presence of these indicators on other systems. 
Likewise, the Security team may launch an email Security awareness initiative in response to an observed rise in phishing attacks within the organisation. These examples demonstrate information sharing within an organisation.</t>
  </si>
  <si>
    <t>ISC-1B</t>
  </si>
  <si>
    <t>Responsibility for Cyber Security reporting obligations are assigned to personnel (e.g., internal reporting to management, external reporting to government (e.g. ACSC) or law enforcement (e.g. AFP), at least in an ad hoc manner</t>
  </si>
  <si>
    <t>Has the organisation identified the role(s) responsible for reporting Cyber Security information (e.g. identified threats, active incidents, confirmed breaches, etc.) both internally and externally?</t>
  </si>
  <si>
    <t>ISC-1C</t>
  </si>
  <si>
    <t>Information-sharing stakeholders are identified based on their relevance to the continued operation of the function (e.g., connected utilities, vendors, sector organisations, regulators, internal entities)</t>
  </si>
  <si>
    <t>Does the organisation share Cyber Security information with internal and external stakeholders that are known to be essential to maintaining continuity of business operations? 
The breadth of an organisation’s information sharing activities should be consistent with its resources,
abilities, and objectives. Information sharing efforts should focus on activities that provide the greatest
value to an organisation and its external sharing partners.</t>
  </si>
  <si>
    <t>ISC-1D</t>
  </si>
  <si>
    <t>Information is collected from and provided to identified information-sharing stakeholders</t>
  </si>
  <si>
    <t>By exchanging Cyber threat information within a sharing community, organisations can leverage the collective knowledge, experience, and capabilities of that sharing community to gain a more complete understanding of the threats the organisation may face. Using this knowledge, an organisation can make threat-informed decisions regarding defensive capabilities, threat detection techniques, and mitigation strategies.</t>
  </si>
  <si>
    <t>ISC-1E</t>
  </si>
  <si>
    <t>Technical sources are identified that can be consulted on Cyber Security issues</t>
  </si>
  <si>
    <t>Within (or in addition to) the sharing community described in ISC-1d, has the organisation identified and established relationships with technical subject matter experts who can provide specialist advice or capability when required?
Examples may include vendor Security specialists, threat intelligence specialists (whether government-led or commercial providers), incident response providers, etc.</t>
  </si>
  <si>
    <t>ISC-1F</t>
  </si>
  <si>
    <t>Provisions are established and maintained to enable secure sharing of sensitive or classified information</t>
  </si>
  <si>
    <t>Sensitive information such as classified material and personally identifiable information (PII) may be encountered when handling Cyber threat information. The improper disclosure of such information could cause financial loss; violate laws, regulations, and contracts; be cause for legal action; or damage an organisation’s or individual’s reputation. 
Accordingly, organisations should implement the necessary Security and privacy controls and handling procedures to protect this information from unauthorised disclosure or modification.</t>
  </si>
  <si>
    <t>ISC-1G</t>
  </si>
  <si>
    <t>Information-sharing practices address both standard operations and emergency operations</t>
  </si>
  <si>
    <t>Completing this practice ensures that Incident Response activities (within the Event and Incident Response, Continuity of Operations (IR) Domain) have considered the unavailability of information systems or computer networks</t>
  </si>
  <si>
    <t>ISC-1H</t>
  </si>
  <si>
    <t>Information-sharing stakeholders are identified based on shared interest in and risk to critical infrastructure</t>
  </si>
  <si>
    <t>Threat information exchanged within communities organised around specific industries or sectors (e.g. Critical Infrastructure) can be particularly beneficial because the member organisations often face actors that use common TTPs that target the same types of systems and information.
Cyber defence is most effective when organisations work together to deter and defend against well-organised, capable actors. Such collaboration helps to reduce risk and improve the organisation’s Security posture.</t>
  </si>
  <si>
    <t>ISC-1I</t>
  </si>
  <si>
    <t>The function or the organisation participates with information sharing and analysis centres</t>
  </si>
  <si>
    <t>Does the organisation engage and participate in external information sharing groups, such as the Joint Cyber Security Centres (JCSC) or industry-specific Cyber working groups?</t>
  </si>
  <si>
    <t>ISC-1J</t>
  </si>
  <si>
    <t>Information-sharing requirements have been defined for the function and address timely dissemination of Cyber Security information</t>
  </si>
  <si>
    <t>Has the organisation defined clear requirements (e.g. in a policy or strategy) for how it will share Cyber Security information? Do these requirements specifically address the type of information to be shared, and the timeframes that this information should be communicated in? 
One example could include a policy requirement that when a Cyber Security event is escalated to be managed as a high-priority incident, a formal incident notification must be provided to management within a certain timeframe. Another example may involve a requirement that newly identified Cyber threat indicators (e.g. IOCs) must be applied to an organisation's endpoint protection solutions within a certain timeframe.
Organisations may implement automated workflows to publish, consume, analyse, and act upon Cyber threat information. The use of standardised data formats and transport protocols to share Cyber threat information makes it easier to automate threat information processing. The use of automation enables Cyber threat information to be rapidly shared, transformed, enriched, analysed, and acted upon with less need for manual intervention.</t>
  </si>
  <si>
    <t>ISC-1K</t>
  </si>
  <si>
    <t>Procedures are in place to analyse and de-conflict received information</t>
  </si>
  <si>
    <t>Information sharing procedures should control the publication and distribution of threat information, and consequently help to prevent the dissemination of information that, if improperly disclosed, may have adverse consequences for an organisation, its customers, or its business partners. 
Information sharing procedures should take into consideration the trustworthiness of the information source or recipient, the sensitivity of the shared information, and the potential impact of sharing (or not sharing) specific types of information.</t>
  </si>
  <si>
    <t>ISC-1L</t>
  </si>
  <si>
    <t>A network of internal and external trust relationships (formal and/or informal) has been established to vet and validate information about Cyber events</t>
  </si>
  <si>
    <t>Does the organisation prioritise its Cyber Security information sharing sources based on their relative trustworthiness or credibility? 
An example may involve an organisation receiving notification of an active Cyber threat within its sector, and then utilising an independent trusted party (e.g. a government agency) to confirm/deny the validity of the threat.</t>
  </si>
  <si>
    <t>TVM-1</t>
  </si>
  <si>
    <t>Identify and Respond to Threats</t>
  </si>
  <si>
    <t>TVM-1A</t>
  </si>
  <si>
    <t>Information sources to support threat management activities are identified, at least in an ad hoc manner.</t>
  </si>
  <si>
    <t>Have you determined where you will obtain external Cyber threat information? This may come from government sources (e.g. ACSC), industry information sharing forums, or private organisations (e.g. AusCERT).</t>
  </si>
  <si>
    <t>TVM-1B</t>
  </si>
  <si>
    <t>Cyber Security threat information is gathered and interpreted for the function, at least in an ad hoc manner</t>
  </si>
  <si>
    <t>Are you currently receiving and assessing Cyber threat information from the sources identified in TVM-1a?
Cyber threat information is any information that can help an organization identify, assess, monitor, and
respond to Cyber threats. Examples include indicators (system artefacts or observables associated with an attack), tactics, techniques, and procedures (TTPs), Security alerts, threat intelligence reports, and recommended Security tool configurations.</t>
  </si>
  <si>
    <t>TVM-1C</t>
  </si>
  <si>
    <t>Threats that are considered important to the function are addressed (e.g., implement mitigating controls, monitor threat status), at least in an ad hoc manner</t>
  </si>
  <si>
    <t>Once you've assessed Cyber threat information received from external sources and determined that a specific threat could adversely impact your organisation, do you identify and implement response strategies? This may include enhanced Security monitoring or deploying additional Security controls where deemed necessary.</t>
  </si>
  <si>
    <t>TVM-1D</t>
  </si>
  <si>
    <t>A threat profile for the function is established that includes characterisation of likely intent, capability, and target of threats to the function</t>
  </si>
  <si>
    <t>A threat profile is a consolidated view of the following:
- An organisation's assets which may become the target of a Cyber attack, and their criticality to the business;
- Known Cyber threat types (e.g. DDoS, ransomware, hacking, etc.);
- Known threat actor types (e.g. State sponsored groups, hacktivists, Cyber criminals, insider threat, etc.) and their motivation, intent, capabilities and likely targets;
- Cyber threat scenarios (attacks), mapping the use of Cyber threats by a threat actor against an asset within the organisation. The definition of threat scenarios should include their likelihood and complexity to carry out, and the potential impact to the organisation. 
Developing a threat profile allows an organisation to better understand and prepare for Cyber threats, and manage the associated risks. 
TVM-1a, TVM-1b, and TVM-1c must be completed as a pre-requisite for this practice.</t>
  </si>
  <si>
    <t>TVM-1E</t>
  </si>
  <si>
    <t>Threat information sources that address all components of the threat profile are prioritised and monitored</t>
  </si>
  <si>
    <t>Are you confident that your existing Cyber threat information sources (refer TVM-1a) provide adequate visibility of the Cyber threats and threat actors identified in your threat profile (refer TVM-1d)? 
TVM-1a, TVM-1b and TVM-1d must be completed as a pre-requisite for this practice.</t>
  </si>
  <si>
    <t>TVM-1F</t>
  </si>
  <si>
    <t>Identified threats are analysed and prioritised</t>
  </si>
  <si>
    <t>Building on TVM-1b, do you assign a formal prioritisation (e.g. classification rating) to identified Cyber threats? 
This prioritisation may simply involve using a rating provided by the external threat information source (e.g. a vendor-supplied vulnerability rating using CVSS), or alternatively the organisation may have defined its own priority/classification scheme for Cyber threats based on likelihood and potential impact to the function. 
TVM-1b must be completed as a pre-requisite for this practice.</t>
  </si>
  <si>
    <t>TVM-1G</t>
  </si>
  <si>
    <t>Threats are addressed according to the assigned priority</t>
  </si>
  <si>
    <t>Are the organisation's responses to identified Cyber threats driven or guided by the threat's assigned priority/classification rating? 
For example, a lower-priority threat may only require the organisation to monitor for evidence of the threat as part of BAU activities, whereas a higher-priority threat may warrant a more in-depth response strategy involving adjustments to Security controls (e.g. more restrictive access controls, enhanced Security event monitoring and alerting, isolation of critical network segments, etc.).
TVM-1f must be completed as a pre-requisite for this practice.</t>
  </si>
  <si>
    <t>TVM-1H</t>
  </si>
  <si>
    <t>The threat profile for the function is validated at an organisation-defined frequency</t>
  </si>
  <si>
    <t>The Cyber threat landscape is constantly changing, with new threats being developed and more threat actors becoming increasingly sophisticated. Similarly, organisations' technology environments change over time as new systems and capabilities are introduced.
An organisation should periodically review and update its threat profile (refer TVM-1d) to ensure that it continues to address the organisation's critical assets, and accurately reflects the current Cyber threat landscape. 
TVM-1d must be completed as a pre-requisite for this practice.</t>
  </si>
  <si>
    <t>TVM-1I</t>
  </si>
  <si>
    <t>Analysis and prioritisation of threats are informed by the function's (or organisation's) risk criteria (RM-1c)</t>
  </si>
  <si>
    <t>Building on TVM-1f, do you use information from the organisation's threat profile (refer TVM-1d) to determine the priority/classification rating to Cyber threats? 
This would include the assets which are likely to be targeted by the threat and the potential impact to the business should the threat scenario eventuate, assessed in accordance with the organisation's broader risk management framework (refer RM-1c).
TVM-1b and TVM-1f must be completed as a pre-requisite for this practice.</t>
  </si>
  <si>
    <t>TVM-1J</t>
  </si>
  <si>
    <t>Threat information is added to the risk register (RM-2j)</t>
  </si>
  <si>
    <t>Organisations' Cyber Security risk registers (refer RM-2j) define certain risk scenarios based on likelihood and potential impact - these attributes should be informed by information in the organisation's Cyber threat profile.
For example, if you became aware of a high-priority Cyber threat which was being widely exploited (e.g. WannaCry, NotPetya) and was likely to be used against the organisation in a way which might impact its critical assets, this should be added to a tactical risk register and managed for the duration of the threat's lifecycle in accordance with the organisation's broader risk management framework, including assessment, tracking and reporting. 
Another example involves using trend information from the threat profile (e.g. a particular threat type may become more prevalent over time) to adjust the likelihood of existing Cyber Security risks defined in an organisation's risk registers.</t>
  </si>
  <si>
    <t>TVM-2</t>
  </si>
  <si>
    <t>Reduce Cyber Security Vulnerabilities</t>
  </si>
  <si>
    <t>TVM-2A</t>
  </si>
  <si>
    <t>Information sources to support Cyber Security vulnerability discovery are identified (e.g. industry associations, vendors, federal briefings, internal assessments), at least in an ad hoc manner</t>
  </si>
  <si>
    <t>Vulnerability information sources may include:
- Vendor patch notifications;
- Independent Security vulnerability disclosures;
- Government bodies (e.g. ACSC);
- Commercial providers (e.g. AusCERT);
- Internal Security assessments (e.g. vulnerability scanning, penetration testing, etc.).</t>
  </si>
  <si>
    <t>TVM-2B</t>
  </si>
  <si>
    <t>Cyber Security vulnerability information is gathered and interpreted for the function, at least in an ad hoc manner</t>
  </si>
  <si>
    <t>Does the organisation actively consume vulnerability notifications from the sources identified in TVM-2a?</t>
  </si>
  <si>
    <t>TVM-2C</t>
  </si>
  <si>
    <t>Cyber Security vulnerabilities that are considered important to the function are addressed (e.g., implement mitigating controls, apply Cyber Security patches), at least in an ad hoc manner</t>
  </si>
  <si>
    <t>Does the organisation seek to remediate or otherwise mitigated identified vulnerabilities? Examples may include: 
- Applying a Security patch;
- Implementing a workaround;
- Updating a configuration setting;
- Implementing a compensating control (e.g. enhanced monitoring).</t>
  </si>
  <si>
    <t>TVM-2D</t>
  </si>
  <si>
    <t>Cyber Security vulnerability information sources that address all assets important to the function are monitored</t>
  </si>
  <si>
    <t>Is the organisation confident that it is receiving vulnerability information for all its business-critical technology systems and assets? Examples may include:
- Operating systems (e.g. Windows, Linux);
- Virtualisation platforms (e.g. VMWare);
- Business applications (e.g. MS Office, Adobe, Java);
- Network communications equipment (e.g. routers, switches, firewalls, etc.);
- Storage platforms and devices;
- Operational Technology systems (e.g. SCADA applications, Energy Management Systems).</t>
  </si>
  <si>
    <t>TVM-2E</t>
  </si>
  <si>
    <t>Cyber Security vulnerability assessments are performed (e.g., architectural reviews, penetration testing, Cyber Security exercises, vulnerability identification tools)</t>
  </si>
  <si>
    <t>Does the organisation proactively seek to identify Security vulnerabilities within its technology environments?</t>
  </si>
  <si>
    <t>TVM-2F</t>
  </si>
  <si>
    <t>Identified Cyber Security vulnerabilities are analysed and prioritised</t>
  </si>
  <si>
    <t>When Cyber Security vulnerabilities are identified, does the organisation assess the associated risks and apply a prioritisation/risk rating (e.g. Low / Medium / High / Critical)?</t>
  </si>
  <si>
    <t>TVM-2G</t>
  </si>
  <si>
    <t>Cyber Security vulnerabilities are addressed according to the assigned priority</t>
  </si>
  <si>
    <t>Has the organisation defined requirements for remediation of identified Cyber Security vulnerabilities in accordance with their assigned prioritisation/risk rating? 
For example, High/Critical vulnerabilities may be required to be remediated in a matter of hours or days, whereas lower-risk vulnerabilities may be allowed longer remediation timeframes.</t>
  </si>
  <si>
    <t>TVM-2H</t>
  </si>
  <si>
    <t>Operational impact to the function is evaluated prior to deploying Cyber Security patches</t>
  </si>
  <si>
    <t>Organisations may choose to first apply Security patches to test or staging environments before deploying them to business-critical production systems.</t>
  </si>
  <si>
    <t>TVM-2I</t>
  </si>
  <si>
    <t>Cyber Security vulnerability assessments are performed for all assets important to the delivery of the function, at an organisation-defined frequency</t>
  </si>
  <si>
    <t>Is the organisation confident that it is performing vulnerability assessments across all its business-critical technology systems and assets? Examples may include:
- Operating systems (e.g. Windows, Linux);
- Virtualisation platforms (e.g. VMWare);
- Business applications (e.g. MS Office, Adobe, Java);
- Network communications equipment (e.g. routers, switches, firewalls, etc.);
- Storage platforms and devices;
- Operational Technology systems (e.g. SCADA applications, Energy Management Systems).
Vulnerability assessments may be performed more frequently for some systems based on their criticality to the business or relative exposure to Cyber threats (e.g. Internet-accessible systems).</t>
  </si>
  <si>
    <t>TVM-2J</t>
  </si>
  <si>
    <t>Cyber Security vulnerability assessments are informed by the function's (or organisation's) risk criteria (RM-1c)</t>
  </si>
  <si>
    <t>Has the organisation defined a risk-based approach to performing Cyber Security vulnerability assessments? 
Vulnerability assessments may be performed more frequently for some systems based on their criticality to the business or relative exposure to Cyber threats (e.g. Internet-accessible systems). The nature of vulnerability assessment required may also be informed by an understanding of risk (e.g. Internet-accessible systems may be subject to penetration testing instead of just vulnerability scanning).</t>
  </si>
  <si>
    <t>TVM-2K</t>
  </si>
  <si>
    <t>Cyber Security vulnerability assessments are performed by parties that are independent of the operations of the function</t>
  </si>
  <si>
    <t>Are Cyber Security vulnerability assessments (refer TVM-2e and TVM-2i) performed by personnel who are independent of the system being assessed? 
An independent assessment may be performed internally (e.g. by an organisation's Internal Audit function) or externally (e.g. by a specialist provider).</t>
  </si>
  <si>
    <t>TVM-2L</t>
  </si>
  <si>
    <t>Analysis and prioritisation of Cyber Security vulnerabilities are informed by the function's (or organisation's) risk criteria (RM-1c)</t>
  </si>
  <si>
    <t>Are identified Cyber Security vulnerabilities assessed and prioritised in accordance with the organisation's broader risk management framework (refer RM-1c)? This may include consideration of how likely the vulnerability is to be exploited, and the potential impact of this occurring.</t>
  </si>
  <si>
    <t>TVM-2M</t>
  </si>
  <si>
    <t>Cyber Security vulnerability information is added to the risk register (RM-2j)</t>
  </si>
  <si>
    <t>When Cyber Security vulnerabilities are identified, does the organisation capture these in a dedicated vulnerability tracker or risk register? 
High-risk or high-profile vulnerabilities (e.g. WannaCry, NotPetya) may warrant their own entries in an operational/tactical risk register so they can be formally tracked, managed and reported throughout their lifecycle.
An organisation may also seek to use aggregated vulnerability information (e.g. from a dedicated vulnerability tracker) to adjust the likelihood of existing Cyber Security risks captured in its operational or strategic Security risk registers.</t>
  </si>
  <si>
    <t>TVM-2N</t>
  </si>
  <si>
    <t>Risk monitoring activities validate the responses to Cyber Security vulnerabilities (e.g., deployment of patches or other activities)</t>
  </si>
  <si>
    <t>Does the organisation seek to validate that vulnerability remediation activities were carried out successfully? 
Examples may include periodic vulnerability scanning to identify missing patches, or re-testing of systems which have had high-rated vulnerabilities recently remediated.</t>
  </si>
  <si>
    <t>TVM-AP</t>
  </si>
  <si>
    <t>TVM Anti-Patterns</t>
  </si>
  <si>
    <t>TVM-AP1</t>
  </si>
  <si>
    <t>Where technical or business reasons restrict the ability to remediate an identified vulnerability, no mitigating or compensating controls are investigated and applied</t>
  </si>
  <si>
    <t>Assets (such as networks, systems, and applications) can have cyber vulnerabilities. Some vulnerabilities are already known, and can be patched. Other vulnerabilities are yet to be discovered, highlighting the importance of preventative and compensating controls.
Applying a security patch is a common method to remediate a cyber security vulnerability, however it is not the only method. If applying a security patch is infeasible, you should explore and implement alternate controls.</t>
  </si>
  <si>
    <t>TVM-AP2</t>
  </si>
  <si>
    <t>Internet-facing assets are not periodically assessed for cyber security vulnerabilities</t>
  </si>
  <si>
    <t>Internet-facing assets (such as networks, systems, and applications) may be accessible to anyone on the Internet, which can increase the level of attention that they receive from malicious threat actors.
As a result, there is an increased likelihood that cyber security vulnerabilities on Internet-facing assets may be exploited. Ensuring that Internet-facing assets are periodically assessed for cyber security vulnerabilities can support your ability to proactively remediate any cyber security vulnerabilities that are discovered.</t>
  </si>
  <si>
    <t>TVM-AP3</t>
  </si>
  <si>
    <t>Controls are not updated in response to new and emerging high priority cyber threats</t>
  </si>
  <si>
    <t>The cyber security threat landscape is dynamic in nature - and new cyber security threats are frequently emerging.
New cyber security threats that have the potential to impact the function should trigger a review of control effectiveness. Controls that are no longer effective considering the new cyber security threat should be updated.</t>
  </si>
  <si>
    <t>SA-1</t>
  </si>
  <si>
    <t>Perform Logging</t>
  </si>
  <si>
    <t>SA-1A</t>
  </si>
  <si>
    <t>Logging is occurring, at least in an ad hoc manner, for assets important to the function, where possible</t>
  </si>
  <si>
    <t>Systems and devices that support the organisation's critical business functions are configured to generate Security event logs.</t>
  </si>
  <si>
    <t>SA-1B</t>
  </si>
  <si>
    <t>Logging requirements have been defined for all assets important to the function (e.g., scope of activity and coverage of assets, Cyber Security requirements [confidentiality, integrity, availability])</t>
  </si>
  <si>
    <t>Has the organisation defined specific requirements for systems and devices that support the organisation's critical business functions to generate Security event logs? 
Such requirements may be documented in a Security Logging &amp; Monitoring Standard, and should specify:
- The type of events that are required to be logged for each type of system/device;
- The information to be captured in event logs;
- Requirements for aggregating and protecting event logs from unauthorised access, modification and deletion.</t>
  </si>
  <si>
    <t>SA-1C</t>
  </si>
  <si>
    <t>Log data are being aggregated within the function</t>
  </si>
  <si>
    <t>Do you have centralised repositories where Security event logs are stored for the purpose of protection and aggregation? 
SA-1a must be completed as a pre-requisite for this practice.</t>
  </si>
  <si>
    <t>SA-1D</t>
  </si>
  <si>
    <t>Logging requirements are based on the risk to the function</t>
  </si>
  <si>
    <t>Are the logging requirements defined in SA-1b informed by (or aligned to) your organisation's understanding of the Cyber risk profile of different system/device types?
For example, business-critical systems located in Internet-facing network zones are more susceptible to certain types of Cyber threats, and as such might be configured with more detailed Security event logging compared to a non-critical asset located in an internal network zone. 
SA-1b must be completed as a pre-requisite for this practice.</t>
  </si>
  <si>
    <t>SA-1E</t>
  </si>
  <si>
    <t>Log data support other business and Security processes (e.g., incident response, asset management)</t>
  </si>
  <si>
    <t>Based on completing the other practices within this section, Security event logs which have been generated, aggregated and adequately protected should enable an organisation to perform other Cyber Security processes such as:
- Security event monitoring and alerting;
- Security investigation and incident response;
- Asset configuration and change management.</t>
  </si>
  <si>
    <t>SA-2</t>
  </si>
  <si>
    <t>Perform Monitoring</t>
  </si>
  <si>
    <t>SA-2A</t>
  </si>
  <si>
    <t>Cyber Security monitoring activities are performed (e.g., periodic reviews of log data), at least in an ad hoc manner</t>
  </si>
  <si>
    <t>Security event logs should be proactively reviewed to identify suspicious or malicious events, either manually or via an automated solution (e.g. SIEM).</t>
  </si>
  <si>
    <t>SA-2B</t>
  </si>
  <si>
    <t>Operational environments are monitored, at least in an ad hoc manner, for anomalous behaviour that may indicate a Cyber Security event</t>
  </si>
  <si>
    <t>Do you know how to differentiate between normal and abnormal behaviour within your technology environments? 
Monitoring may include reviewing Security event logs to identify suspicious events (refer SA-2a) or other types of behavioural monitoring that would provide sufficient indication that a Cyber Security event may have occurred.</t>
  </si>
  <si>
    <t>SA-2C</t>
  </si>
  <si>
    <t>Monitoring and analysis requirements have been defined for the function and address timely review of event data</t>
  </si>
  <si>
    <t>Has the organisation defined specific requirements for the periodic review of Security event logs, and how often/quickly this should occur?
Such requirements may be documented in a Security Logging &amp; Monitoring Standard.</t>
  </si>
  <si>
    <t>SA-2D</t>
  </si>
  <si>
    <t>Alarms and alerts are configured to aid in the identification of Cyber Security events (IR-1b)</t>
  </si>
  <si>
    <t>Where the review of Security event logs (refer SA-2c) identifies a suspicious/malicious event that warrants further investigation, is there a mechanism in place to generate an alert/alarm?
This would typically be facilitated by a log monitoring and analysis solution (e.g. SIEM), with automated alerts generated in accordance with predefined criteria (e.g. high-risk Security events are detected, or a pre-set threshold for repeated events is reached).</t>
  </si>
  <si>
    <t>SA-2E</t>
  </si>
  <si>
    <t>Indicators of anomalous activity have been defined and are monitored across the operational environment</t>
  </si>
  <si>
    <t>Has the organisation defined specific system behaviours (e.g. Security event types or combinations of different events) or known threat-related Indicators of Compromise (IOCs) which may indicate that a Cyber threat has impacted (or is impacting) your technology systems? 
Are these indicators actively monitored across the organisation?</t>
  </si>
  <si>
    <t>SA-2F</t>
  </si>
  <si>
    <t>Monitoring activities are aligned with the function's threat profile (TVM-1d)</t>
  </si>
  <si>
    <t>An organisation's Security logging and monitoring tools and processes should be informed by its defined threat profile (refer TVM-1d) to ensure that it is able to identify when specific Cyber threats are impacting technology systems. 
For example, the threat profile may indicate that a particular type of Cyber threat is more likely to impact a system or asset within the organisation. In this case, the organisation should ensure that systems susceptible to that threat are generating Security event logs that would indicate that the threat is impacting them, and Security monitoring solutions should be configured to look for specific evidence of that threat (e.g. IOCs) within logs and generate alerts accordingly.
This supports a risk-based approach to Security logging and monitoring within an organisation, recognising that some Cyber threats pose a greater risk and thus warrant enhanced detection capabilities.
TVM-1d must be completed as a pre-requisite for this practice.</t>
  </si>
  <si>
    <t>SA-2G</t>
  </si>
  <si>
    <t>Monitoring requirements are based on the risk to the function</t>
  </si>
  <si>
    <t>Are your organisation's Security monitoring capabilities designed and implemented in alignment with your understanding of the likelihood and potential impact of Cyber risks facing the organisation?
For example, an organisation may have identified a high-rated Cyber risk related to the external compromise of business critical web-based systems over the Internet. This would warrant that organisation focusing its Security monitoring activities on that particular system to ensure that it was able to detect and respond to Security events in a timely manner, thus limiting the impact to that asset. 
This practice supports a risk-based approach to Security logging and monitoring within an organisation, recognising that some systems are more critical to the business and thus warrant enhanced monitoring capabilities.</t>
  </si>
  <si>
    <t>SA-2H</t>
  </si>
  <si>
    <t>Monitoring is integrated with other business and Security processes (e.g., incident response, asset management)</t>
  </si>
  <si>
    <t>Based on completing the other practices within this section, Security monitoring activities should enable an organisation to perform other Cyber Security processes such as:
- Security investigation and incident response;
- Inform the Common Operating Picture (refer SA-3).</t>
  </si>
  <si>
    <t>SA-2I</t>
  </si>
  <si>
    <t>Continuous monitoring is performed across the operational environment to identify anomalous activity</t>
  </si>
  <si>
    <t>Has the organisation implemented technology solutions and processes which enable it to continuously monitor its technology environments for Security events and incidents? Are these tools and processes supported by sufficient personnel (e.g. 24/7 coverage)?
A continuous Security monitoring capability may be entirely in-house, or augmented by a third party service provider.</t>
  </si>
  <si>
    <t>SA-2J</t>
  </si>
  <si>
    <t>Risk register (RM-2j) content is used to identify indicators of anomalous activity</t>
  </si>
  <si>
    <t>Similar to SA-2f, an organisation's Security logging and monitoring tools and processes should be informed by an understanding of Cyber risks facing the business.  
For example, an organisation may use a tactical / operational cyber security risk register to document and manage a specific Cyber risk relating to compromise of a business-critical asset by a known and active Cyber threat (e.g. WannaCry). In this case, the organisation should ensure that Security monitoring solutions are configured to look for specific evidence of that threat (e.g. IOCs) within logs and generate alerts accordingly.
This supports a risk-based approach to Security logging and monitoring within an organisation, recognising that some Cyber threats pose a greater risk and thus warrant specific or enhanced monitoring capabilities.</t>
  </si>
  <si>
    <t>SA-2K</t>
  </si>
  <si>
    <t>Alarms and alerts are configured according to indicators of anomalous activity</t>
  </si>
  <si>
    <t>Building on SA-2d, does your organisation periodically update its Security monitoring solutions to look for specific Indicators of Compromise (IOCs) associated with known Cyber threats?</t>
  </si>
  <si>
    <t>SA-3</t>
  </si>
  <si>
    <t>Establish and Maintain a Common Operating Picture</t>
  </si>
  <si>
    <t>SA-3A</t>
  </si>
  <si>
    <t>Methods of communicating the current state of Cyber Security for the function are established and maintained</t>
  </si>
  <si>
    <t>Does the organisation have established mechanisms in place which enable it to actively communicate operational Cyber Security information (e.g. identified threats, active incidents, etc.)? Examples may include:
- Cyber Security notification emails sent from a dedicated inbox (e.g. to notify staff of an active incident);
- Operational Cyber Security briefings/calls to inform key stakeholders of any notable information or events;
- Cyber Security reporting mechanisms to inform management of escalated Cyber Security issues;
- A dedicated Intranet site/page where Cyber Security notifications can be posted to inform the broader user population.</t>
  </si>
  <si>
    <t>SA-3B</t>
  </si>
  <si>
    <t>Monitoring data are aggregated to provide an understanding of the operational state of the function (i.e., a common operating picture; a COP may or may not include visualisation or be presented graphically)</t>
  </si>
  <si>
    <t>Does the organisation maintain a Common Operating Picture (COP) for Cyber Security across its technology environments? 
A COP is a consolidated view (i.e. "single pane of glass") of the current state of Cyber Security operations within an organisation.</t>
  </si>
  <si>
    <t>SA-3C</t>
  </si>
  <si>
    <t>Information from across the organisation is available to enhance the common operating picture</t>
  </si>
  <si>
    <t>Does the organisation's Cyber Security COP (refer SA-3b) take into account information gathered from across the organisation's technology environments, including Security logging, monitoring and alerting (refer SA-1, SA-2)?</t>
  </si>
  <si>
    <t>SA-3D</t>
  </si>
  <si>
    <t>Monitoring data are aggregated to provide near-real-time understanding of the Cyber Security state for the function to enhance the common operating picture</t>
  </si>
  <si>
    <t>Is the organisation's Cyber Security COP (refer SA-3b) automatically updated based on near-real-time monitoring and alerting of Cyber Security events (refer SA-1, SA-2)?</t>
  </si>
  <si>
    <t>SA-3E</t>
  </si>
  <si>
    <t>Information from outside the organisation is collected to enhance the common operating picture</t>
  </si>
  <si>
    <t>Does the organisation's Cyber Security COP (refer SA-3b) take into account external Cyber threat monitoring (refer TVM-1) and information sharing (refer ISC-1)?</t>
  </si>
  <si>
    <t>SA-3F</t>
  </si>
  <si>
    <t>Predefined states of operation are defined and invoked (manual or automated process) based on the common operating picture</t>
  </si>
  <si>
    <t>Does the organisation have an established framework/model to define and communicate the "current state" of Cyber Security operations at any given point in time based on internal monitoring and external threat information?
A COP may use a color-coded scale to define the current threat level (e.g. Green, Yellow, Amber, Red), with specific processes and procedures defined for each threat level. For example, if a high-profile Cyber threat was identified as actively targeting the organisation's industry, the COP may be elevated to "Amber" and specific response strategies invoked (e.g. heightened Security monitoring and alerting, more restrictive network access controls, etc.). 
A tangible analogy is the Australian National Terrorism Threat Advisory System, which defines a scale of five levels to provide advice about the likelihood of an act of terrorism occurring in Australia (Not Expected / Possible / Probable / Expected / Certain). When the threat level changes, the Australian Government provides advice on what the threat level means, where the threat is coming from, potential targets and how a terrorist act may be carried out. The National Terrorism Threat Level is regularly reviewed in line with the Security environment and intelligence.</t>
  </si>
  <si>
    <t>SA-AP</t>
  </si>
  <si>
    <t>SA Anti-Patterns</t>
  </si>
  <si>
    <t>SA-AP1</t>
  </si>
  <si>
    <t>Operational assets are monitored only for performance and not for cyber security events</t>
  </si>
  <si>
    <t>Performance-related monitoring (such as uptime, bandwidth, and latency statistics) may not provide the function with the visibility needed to detect and respond to a cyber security incident. It is important that monitoring of operational assets (such as networks, systems, and applications) includes security-related statistics (such as failed authentication attempts) in addition to any performance-related statistics.</t>
  </si>
  <si>
    <t>SA-AP2</t>
  </si>
  <si>
    <t>Logging data is only monitored when a cyber security incident occurs</t>
  </si>
  <si>
    <t>Logging data that is collected from your assets (such as networks, systems, and applications) can serve as a key source of information to support the early detection of a cyber security threat.
As a result, you should proactively monitor logging data in addition to monitoring during and after a cyber security incident.</t>
  </si>
  <si>
    <t>SA-AP3</t>
  </si>
  <si>
    <t>Normal asset operation is not sufficiently baselined to support the identification of abnormal asset operation</t>
  </si>
  <si>
    <t>Logging data generated by assets (such as networks, systems, and applications) can become more useful over time, as normal patterns become apparent within security monitoring solutions.
Understanding normal asset operation is critical to identifying abnormal asset operation.
Baselines may be established for individual assets (e.g. a field device) or for a collection of interconnected assets.</t>
  </si>
  <si>
    <t>SA-AP4</t>
  </si>
  <si>
    <t>Alerts and alarms are not configured to include security events</t>
  </si>
  <si>
    <t>Performance-only monitoring of assets (such as networks, systems, and applications) may not provide the function with the visibility needed to detect and respond to a cyber security incident.
Alerts and alarms that are configured for performance-only reasons are limited in scope, and should be enhanced by integrating security monitoring statistics.</t>
  </si>
  <si>
    <t>SA-AP5</t>
  </si>
  <si>
    <t>Logging data is not time synchronised</t>
  </si>
  <si>
    <t>You should ensure that assets (such as networks, systems, and applications) are synchronised to a centralised and trusted time source (e.g. using Network Time Protocol (NTP)) to enable accurate event correlation from logging data.</t>
  </si>
  <si>
    <t>SA-AP6</t>
  </si>
  <si>
    <t>Logging data from critical assets is only stored on the asset and not centralised</t>
  </si>
  <si>
    <t>Logging data that is collected from your assets (such as networks, systems, and applications) can serve as a key source of information to support the early detection of a cyber security threat.
As a result, if logging data is only stored locally, this may limit your ability to perform comprehensive monitoring and proactively identify cyber security threats.</t>
  </si>
  <si>
    <t>SA-AP7</t>
  </si>
  <si>
    <t>Identities (users) have edit (write) access to centralised logging data without a confirmed need</t>
  </si>
  <si>
    <t>The confidentiality and integrity of centralised logging data should be protected by restricting the identities (users) that have access. This ensures the logging data can be used to build an accurate chain of events when investigating a cyber security incident.</t>
  </si>
  <si>
    <t>SA-AP8</t>
  </si>
  <si>
    <t>Third party vendors or services have privileged access that is not logged</t>
  </si>
  <si>
    <t>Privileged access, such as an administrator account, represents a higher level of risk to the function, given the potential for an administrator to make broad and irreversible changes to assets (such as networks, systems, and applications).
If you provision third parties with privileged access, you should ensure that logging data is collected, and that the access does not circumvent your security controls.</t>
  </si>
  <si>
    <t>SA-AP9</t>
  </si>
  <si>
    <t>Indicators of Compromise (IOCs) are only monitored and considered during or after a cyber security incident</t>
  </si>
  <si>
    <t>Indicators of Compromise (IOCs) are known malicious signatures that are shared in threat intelligence forums (both free and paid).
Similarly to SA-AP2, you should proactively monitor IOC repositories for new and updated indicators, in addition to mointoring them during and after a cyber security incident.</t>
  </si>
  <si>
    <t>SA-AP10</t>
  </si>
  <si>
    <t>Logging data from impacted assets cannot be inspected when investigating a cyber security event</t>
  </si>
  <si>
    <t>Logging data that is collected from your assets (such as networks, systems, and applications) can serve as a key source of information to support the early detection of a cyber security threat.
Ensuring that logging data is available when investigating a cyber security event is also important. When assets are impacted, and logging data generated by those assets is unavailable, you have a limited ability to respond.
Example activities that indicate this Anti-Pattern is Present include:
- Logging data is stored in a cloud (Internet) based repository, and logging data in this repository cannot be inspected during a Distributed Denial of Service (DDOS) attack, or;
- Logging data cannot be centrally inspected by your security monitoring solution as it is stored in a segregated network inaccessible during an incident, or;
- Logging data cannot be inspected given security logging requirements were not established by the function, and therefore the logging data is not fit-for-purpose or is unintelligible.</t>
  </si>
  <si>
    <t>SA-AP11</t>
  </si>
  <si>
    <t>Indicators of Compromise cannot be added to security monitoring solutions that monitor critical assets</t>
  </si>
  <si>
    <t>Indicators of Compromise (IOCs) are known malicious signatures that are shared in threat intelligence forums (both free and paid).
You should ensure that IOCs can be added to the security monitoring solutions that monitor the function’s critical assets (such as networks, systems, and applications). This can support your ability to perform comprehensive monitoring and proactively identify cyber security threats.</t>
  </si>
  <si>
    <t>IR-1</t>
  </si>
  <si>
    <t>Detect Cyber Security Events</t>
  </si>
  <si>
    <t>IR-1A</t>
  </si>
  <si>
    <t>There is a point of contact (person or role) to whom Cyber Security events could be reported</t>
  </si>
  <si>
    <t>Have people in your organisation been told who they should contact if they suspect or identify a Cyber Security event/incident? Examples may include the IT Service Desk, an Incident Manager or a dedicated Security email inbox.</t>
  </si>
  <si>
    <t>IR-1B</t>
  </si>
  <si>
    <t>Detected Cyber Security events are reported, at least in an ad hoc manner</t>
  </si>
  <si>
    <t>Do people speak up when they suspect or identify a Cyber Security event/incident? This may include:
- A user calling the IT Service Desk to report a spam email;
- A user notifying a member of the Cyber Security team of suspicious system behaviour;
- An anti-virus agent generating an alert when it detects a malware infection;
A Security monitoring solution generating an automated alert when it detects suspicious/malicious network traffic.</t>
  </si>
  <si>
    <t>IR-1C</t>
  </si>
  <si>
    <t>Cyber Security events are logged and tracked, at least in an ad hoc manner</t>
  </si>
  <si>
    <t>When a perceived or real Cyber Security event is reported (e.g. to the point of contact in IR-1a), is the event recorded somewhere and followed up?</t>
  </si>
  <si>
    <t>IR-1D</t>
  </si>
  <si>
    <t>Criteria are established for Cyber Security event detection (e.g., what constitutes an event, where to look for events)</t>
  </si>
  <si>
    <t>Has your organisation defined and documented what it considers to be a Cyber Security event worth knowing about, and where these events can be identified from? This information may be defined in a Security Event Logging and Monitoring Standard. 
Note that once Security event types are defined, their detection is often facilitated by technology-driven solutions such as:
- Endpoint protection agents;
- Host-based and network-based IDS/IPS;
- System-generated Security event logging (e.g. Windows event log, Unix Syslog, etc.).
This practice is interdependent with Situational Awareness practices such as SA-1a and SA-2a, in that Cyber Security events may be identified from logging data. Upon investigation, a Security event may be escalated to a Security incident (refer IR-2a).</t>
  </si>
  <si>
    <t>IR-1E</t>
  </si>
  <si>
    <t>There is a repository where Cyber Security events are logged based on the established criteria</t>
  </si>
  <si>
    <t>Once a Cyber Security event has been identified in accordance with the criteria established in IR-1d, is it recorded anywhere? This may involve someone manually recording an event, or a system generating a Security log that is stored locally on the device or sent to a centralised storage location (e.g. a Syslog server).
This practice is interdependent with Situational Awareness practices such as SA-1a and SA-2a.</t>
  </si>
  <si>
    <t>IR-1F</t>
  </si>
  <si>
    <t>Event information is correlated to support incident analysis by identifying patterns, trends, and other common features</t>
  </si>
  <si>
    <t>When investigating a Security incident, are you able to analyse event logs from different sources across your technology environment to form a broader understanding of events? This practice is made easier when event logs are stored in a centralised location for the purpose of correlation (which may be automated by a SIEM solution). 
IR-1e must be completed as a pre-requisite for this practice.</t>
  </si>
  <si>
    <t>IR-1G</t>
  </si>
  <si>
    <t>Cyber Security event detection activities are adjusted based on information from the organisation's risk register (RM-2j) and threat profile (TVM-1d) to help detect known threats and monitor for identified risks</t>
  </si>
  <si>
    <t>Do you periodically review and update your Security event definitions (refer IR-1d) and subsequently your Security event logging configurations in alignment with your organisation's changing risk profile (refer RM-2j) and the broader Cyber threat environment (TVM-1d)?
For example, if a specific type of Cyber threat became more prevalent in your industry sector, would you look to adjust your Security logging and monitoring to better identify events in your technology environment that could be indicators of that threat?</t>
  </si>
  <si>
    <t>IR-1H</t>
  </si>
  <si>
    <t>The common operating picture for the function is monitored to support the identification of Cyber Security events (SA-3a)</t>
  </si>
  <si>
    <t>Using the Common Operating Picture (COP) that you have implemented in SA-3a, do you have a process, procedure, or set of steps that are followed, to monitor the COP for events that may be Cyber Security events?
As per SA-3a, a COP is a consolidated view (i.e. "single pane of glass") of the current state of Cyber Security operations within an organisation.
SA-3a must be completed as a pre-requisite for this practice..</t>
  </si>
  <si>
    <t>IR-2</t>
  </si>
  <si>
    <t>Escalate Cyber Security Events and Declare Incidents</t>
  </si>
  <si>
    <t>IR-2A</t>
  </si>
  <si>
    <t>Criteria for Cyber Security event escalation are established, including Cyber Security incident declaration criteria, at least in an ad hoc manner</t>
  </si>
  <si>
    <t>Has your organisation defined thresholds for when Cyber Security events need to be escalated for further investigation? This may include a certain number of events occurring in sequence (or within a given timespan), or specific event types occurring together. 
Has your organisation defined what it considers to be a Cyber Security incident?</t>
  </si>
  <si>
    <t>IR-2B</t>
  </si>
  <si>
    <t>Cyber Security events are analysed, at least in an ad hoc manner, to support escalation and the declaration of Cyber Security incidents</t>
  </si>
  <si>
    <t>When a perceived or real Cyber Security event is reported, does the point of contact from IR-1a follow the steps in IR-2a to investigate the event and declare an incident if the criteria are met?</t>
  </si>
  <si>
    <t>IR-2C</t>
  </si>
  <si>
    <t>Escalated Cyber Security events and incidents are logged and tracked, at least in an ad hoc manner</t>
  </si>
  <si>
    <t>When a Cyber Security event has been escalated or declared an incident, is this recorded somewhere so it can be monitored, tracked and reported?</t>
  </si>
  <si>
    <t>IR-2D</t>
  </si>
  <si>
    <t>Criteria for Cyber Security event escalation, including Cyber Security incident criteria, are established based on the potential impact to the function</t>
  </si>
  <si>
    <t>Building on IR-2a, are the Cyber Security event escalation thresholds and incident declaration criteria informed by an assessment of the potential adverse impact to the affected technology asset or system?
IR-2a must be completed as a pre-requisite for this practice.
Completing this practice enables an organisation to prioritise Cyber Security event and incident response activities based on their potential impact to the function.</t>
  </si>
  <si>
    <t>IR-2E</t>
  </si>
  <si>
    <t>Criteria for Cyber Security event escalation, including Cyber Security incident declaration criteria, are updated at an organisation-defined frequency</t>
  </si>
  <si>
    <t>Has your organisation defined how often you should periodically review and update your Security event escalation criteria (refer IR-2a)?</t>
  </si>
  <si>
    <t>IR-2F</t>
  </si>
  <si>
    <t>There is a repository where escalated Cyber Security events and Cyber Security incidents are logged and tracked to closure</t>
  </si>
  <si>
    <t>Where do you record active Cyber Security incidents? This may be an informal spreadsheet-based tracker, or a dedicated incident management solution with automated workflows and ticketing functionality.
Do you track Cyber Security incidents through to closure?</t>
  </si>
  <si>
    <t>IR-2G</t>
  </si>
  <si>
    <t>Criteria for Cyber Security event escalation, including Cyber Security incident declaration criteria, are adjusted according to information from the organisation's risk register (RM-2j) and threat profile (TVM-1d)</t>
  </si>
  <si>
    <t>Do you periodically review and update your Security event escalation criteria (refer IR-2a) in alignment with your organisation's changing risk profile (refer RM-2j) and the broader Cyber threat environment?</t>
  </si>
  <si>
    <t>IR-2H</t>
  </si>
  <si>
    <t>Escalated Cyber Security events and declared Cyber Security incidents inform the common operating picture (SA-3a) for the function</t>
  </si>
  <si>
    <t>Do you update your organisation's Common Operating Picture (COP, refer SA-3a) to reflect when there are active Cyber Security incidents being investigated? 
As per SA-3a, a COP is a consolidated view (i.e. "single pane of glass") of the current state of Cyber Security operations within an organisation.</t>
  </si>
  <si>
    <t>IR-2I</t>
  </si>
  <si>
    <t>Escalated Cyber Security events and declared incidents are correlated to support the discovery of patterns, trends, and other common features</t>
  </si>
  <si>
    <t>Do you periodically review previous Cyber Security incidents to identify common traits, repeated occurrences or themes that might point to a broader issue that requires investigating? For example, multiple incidents of the same nature may indicate a control weakness that needs to be addressed.</t>
  </si>
  <si>
    <t>IR-3</t>
  </si>
  <si>
    <t>Respond to Incidents and Escalated Cyber Security Events</t>
  </si>
  <si>
    <t>IR-3A</t>
  </si>
  <si>
    <t>Cyber Security event and incident response personnel are identified and roles are assigned, at least in an ad hoc manner</t>
  </si>
  <si>
    <t>People who are responsible for responding to Cyber Security events and incidents know that they are responsible, and what they are responsible for</t>
  </si>
  <si>
    <t>IR-3B</t>
  </si>
  <si>
    <t>Responses to escalated Cyber Security events and incidents are implemented, at least in an ad hoc manner, to limit impact to the function and restore normal operations</t>
  </si>
  <si>
    <t>When you respond to Security incidents, do you take steps to limit the impact and restore normal services? This may include:
- Isolating affected systems to prevent them from adversely impacting other systems;
- Using a tool to scan and disinfect any systems affected by malware;
- Restoring systems from known-good backups.</t>
  </si>
  <si>
    <t>IR-3C</t>
  </si>
  <si>
    <t>Reporting of escalated Cyber Security events and incidents is performed (e.g., internal reporting, ACSC), at least in an ad hoc manner</t>
  </si>
  <si>
    <t>How are Security incidents reported within your organisation, both during and after an incident?
Where required, do you report Cyber Security incidents to external authorities?</t>
  </si>
  <si>
    <t>IR-3D</t>
  </si>
  <si>
    <t>Cyber Security event and incident response is performed according to defined procedures that address all phases of the incident life cycle (e.g., triage, handling, communication, coordination, and closure)</t>
  </si>
  <si>
    <t>Has your organisation defined and documented a formal process for managing Cyber Security incidents? Does this process include all phases of an incident lifecycle? Are Cyber Security incidents managed in accordance with this process?
This practice enables an organisation to respond to Security incidents in a consistent manner.</t>
  </si>
  <si>
    <t>IR-3E</t>
  </si>
  <si>
    <t>Cyber Security event and incident response plans are exercised at an organisation- defined frequency</t>
  </si>
  <si>
    <t>Periodically testing your Cyber Security incident response plans (e.g. via table-top exercises or incident simulations) helps people involved in response to remain familiar with the process. It also helps to highlight any issues or weaknesses in the process so these can be addressed prior to a real incident occurring.</t>
  </si>
  <si>
    <t>IR-3F</t>
  </si>
  <si>
    <t>Cyber Security event and incident response plans address OT and IT assets important to the delivery of the function</t>
  </si>
  <si>
    <t>Are your Cyber Security incident response plans designed such that they can be invoked for your business-critical technology assets?</t>
  </si>
  <si>
    <t>IR-3G</t>
  </si>
  <si>
    <t>Training is conducted for Cyber Security event and incident response teams</t>
  </si>
  <si>
    <t>Are staff involved with Cyber Security incident response activities provided with opportunities to practice their roles, for example as part of simulation exercises (refer to IR-3e)?
This empowers personnel who have been assigned a role within the Cyber Security incident response process with the skills and knowledge to be able to successfully execute their role.</t>
  </si>
  <si>
    <t>IR-3H</t>
  </si>
  <si>
    <t>Cyber Security event and incident root-cause analysis and lessons-learned activities are performed, and corrective actions are taken</t>
  </si>
  <si>
    <t>Do you seek to identify the root cause of Cyber Security incidents, either during or after an incident? Is this then used to update your Cyber Security controls (e.g. if a weakness was identified as the root cause)?</t>
  </si>
  <si>
    <t>IR-3I</t>
  </si>
  <si>
    <t>Cyber Security event and incident responses are coordinated with law enforcement and other government entities as appropriate, including support for evidence collection and preservation</t>
  </si>
  <si>
    <t>Does your organisation engage with law enforcement (e.g. Australian Federal Police) and other government entities (e.g. Australian Cyber Security Centre) to support Cyber Security incident response activities?</t>
  </si>
  <si>
    <t>IR-3J</t>
  </si>
  <si>
    <t>Cyber Security event and incident response personnel participate in joint Cyber Security exercises with other organisations (e.g., table top, simulated incidents)</t>
  </si>
  <si>
    <t>Incident simulation exercises allow an organisation to practice executing their incident response plans. Conducting exercises with other organisations enables the sharing of information and lessons learned.</t>
  </si>
  <si>
    <t>IR-3K</t>
  </si>
  <si>
    <t>Cyber Security event and incident response plans are reviewed and updated at an organisation-defined frequency</t>
  </si>
  <si>
    <t>Cyber Security incident response activities may need to be adjusted to better deal with the changing Cyber threat landscape.</t>
  </si>
  <si>
    <t>IR-3L</t>
  </si>
  <si>
    <t>Cyber Security event and incident response activities are coordinated with relevant external entities</t>
  </si>
  <si>
    <t>Similar to IR-3i, does your organisation engage with external specialists when responding to a Cyber Security incident? This may include incident response and technology forensics specialists.</t>
  </si>
  <si>
    <t>IR-3M</t>
  </si>
  <si>
    <t>Cyber Security event and incident response plans are aligned with the function's risk criteria (RM-1c) and threat profile (TVM-1d)</t>
  </si>
  <si>
    <t>Are your Cyber Security incident response plans designed such that they are informed by your organisation's established threat profile (refer TVM-1d)? This may include the development of tailored incident response playbooks for specific types of Cyber Security incidents arising from threats that the organisation has identified as prevalent (e.g. ransomware outbreak).</t>
  </si>
  <si>
    <t>IR-3N</t>
  </si>
  <si>
    <t>Policy and procedures for reporting Cyber Security event and incident information to designated authorities conform with applicable laws, regulations, and contractual agreements</t>
  </si>
  <si>
    <t>Do you have policies and procedures in place for Cyber Security incident reporting? If so, do these policies and procedures identify any external reporting requirements? This may include contractual obligations (e.g. reporting an incident to your customers), or legal/regulatory obligations (e.g. Australian Notifiable Data Breach scheme (NDB)).</t>
  </si>
  <si>
    <t>IR-3O</t>
  </si>
  <si>
    <t>Restored assets are configured appropriately and inventory information is updated following execution of response plans</t>
  </si>
  <si>
    <t>If you make changes to a technology asset/system while responding to a Cyber Security incident, do you ensure that these changes are reflected in your asset inventories (refer ACM-1)?</t>
  </si>
  <si>
    <t>IR-4</t>
  </si>
  <si>
    <t>Plan for Continuity</t>
  </si>
  <si>
    <t>IR-4A</t>
  </si>
  <si>
    <t>The activities necessary to sustain minimum operations of the function are identified, at least in an ad hoc manner</t>
  </si>
  <si>
    <t>Has your organisation identified which IT/OT operational activities, processes and systems are necessary to support business-critical operations?</t>
  </si>
  <si>
    <t>IR-4B</t>
  </si>
  <si>
    <t>The sequence of activities necessary to return the function to normal operation is identified, at least in an ad hoc manner</t>
  </si>
  <si>
    <t>If a Cyber Security incident results in the degradation or outage of a business-critical function, does your organisation know how to restore those functions back to normal operations? This may take the form of a technology disaster recovery plan.</t>
  </si>
  <si>
    <t>IR-4C</t>
  </si>
  <si>
    <t>Continuity plans are developed, at least in an ad hoc manner, to sustain and restore operation of the function</t>
  </si>
  <si>
    <t>In the event of an extended Cyber Security incident, does your organisation know how to ensure that its business-critical operations can continue? This may take the form of a business continuity plan.</t>
  </si>
  <si>
    <t>IR-4D</t>
  </si>
  <si>
    <t>Business impact analyses inform the development of continuity plans</t>
  </si>
  <si>
    <t>A Business Impact Assessment (BIA) seeks to identify and define how important a particular activity, process, asset or system is to the ongoing operation of an organisation, and what the potential impact would be if that thing became unavailable. 
Do you use the output of BIAs to inform your business continuity plans? This might include how you prioritise the allocation of resources to ensuring the ongoing continuity of particular activities or processes.</t>
  </si>
  <si>
    <t>IR-4E</t>
  </si>
  <si>
    <t>Recovery time objectives (RTO) and recovery point objectives (RPO) for the function are incorporated into continuity plans</t>
  </si>
  <si>
    <t>Do you have Recovery Time Objectives (RTO) and Recovery Point Objectives (RPO) defined for business-critical activities, assets and systems? Are these included in your business continuity plans?</t>
  </si>
  <si>
    <t>IR-4F</t>
  </si>
  <si>
    <t>Continuity plans are evaluated and exercised</t>
  </si>
  <si>
    <t>Do you test the business continuity plans developed in IR-4c? If so, does the testing include criteria to establish the effectiveness of the plans?
Completing this practice ensures that the business function or organisation has tested the whether it is feasible to execute their business continuity plans as intended, and can highlight areas where future updates to the plans are required.
IR-4a, IR-4b, and IR-4c must be completed as a pre-requisite for this practice.</t>
  </si>
  <si>
    <t>IR-4G</t>
  </si>
  <si>
    <t>Business impact analyses are periodically reviewed and updated</t>
  </si>
  <si>
    <t>Do you review the business impact analyses (IR-4d) that your business function or organisation has conducted? If so, does this occur at a defined interval, or ad-hoc? Do you update the analyses where required?</t>
  </si>
  <si>
    <t>IR-4H</t>
  </si>
  <si>
    <t>Recovery time objectives (RTO) and recovery point objectives (RPO) are aligned with the function's risk criteria (RM-1c)</t>
  </si>
  <si>
    <t>The organisation's risk criteria (refer RM-1c) may inform your priorities for how quickly business-critical systems need to be recovered from an outage.</t>
  </si>
  <si>
    <t>IR-4I</t>
  </si>
  <si>
    <t>The results of continuity plan testing and/or activation are compared to recovery objectives, and plans are improved accordingly</t>
  </si>
  <si>
    <t>When continuity plans are evaluated and exercised (IR-4f), do you establish whether the Recovery Time Objectives (RTO) and Recovery Point Objectives (RPO) were achieved? Do you update and improve the continuity plans (e.g. with lessons learnt)?</t>
  </si>
  <si>
    <t>IR-4J</t>
  </si>
  <si>
    <t>Continuity plans are periodically reviewed and updated</t>
  </si>
  <si>
    <t>Has your organisation defined a requirement for how often continuity plans should be reviewed and updated? If so, have your continuity plans been reviewed and updated in accordance with this requirement?</t>
  </si>
  <si>
    <t>IR-4K</t>
  </si>
  <si>
    <t>Restored assets are configured appropriately and inventory information is updated following execution of continuity plans</t>
  </si>
  <si>
    <t>If your response to a Cyber Security incident necessitates restoring technology assets/systems (e.g. from backups) or replacing them entirely, do you ensure that these are configured in line with your previously defined configuration baselines (refer ACM-2), and update your asset inventories accordingly (refer ACM-1)?</t>
  </si>
  <si>
    <t>IR-AP</t>
  </si>
  <si>
    <t>IR Anti-Patterns</t>
  </si>
  <si>
    <t>IR-AP1</t>
  </si>
  <si>
    <t>Critical functions have not been identified</t>
  </si>
  <si>
    <t>Important business functions are sometimes known to employees through their day-to-day business activities. Other times, important functions are less obvious. As a result, identifying critical functions requires you to:
- comprehensively analyse each organisational function;
- determine (through your analysis) the interdependencies that exist between organisational functions, and;
- consider (through your analysis) the importance of that function to the achievement of organisational objectives.
A business impact assessment (BIA) is a type of assessment that can help your organisation understand which functions are more important than others.
An example of an important function might be the accounts payable department who ensures that employees and third parties are paid.</t>
  </si>
  <si>
    <t>IR-AP2</t>
  </si>
  <si>
    <t>Services and assets that support the delivery of critical functions have not been identified (IR-AP1)</t>
  </si>
  <si>
    <t>IR-AP1 must be Not Present for this Anti-Pattern to be Not Present.
Building on IR-AP1, a business impact assessment (BIA) can also help your organisation understand which assets (such as networks, systems, and applications) support the delivery of critical functions.
When identifying the assets that support the delivery of critical functions, consideration should be given to how continuity of use will be maintained during an incident, and recovery managed post an incident. For example, access to cloud based asset may not be possible during a denial of service incident.
Examples of important assets may include:
- server that is responsible for Supervisory Control and Data Acquisition (SCADA), and allows your organisation to intelligently control the electricity network, and (or);
- a mail server that allows your organisation to send and receive emails (such as payslips and tax invoices).
Examples of important services (performed by an asset) may include:
- a Network Time Protocol (NTP) server that synchronises the clocks of assets (SA-AP5), and (or);
- a Voice over Internet Protocol (VOIP) server that enables telephony.
A service may be fully or semi-automated, and involve a combination of people, process and technology (assets).</t>
  </si>
  <si>
    <t>IR-AP3</t>
  </si>
  <si>
    <t>Incident responders do not know which authorities (including law enforcement) should be contacted or how to contact them</t>
  </si>
  <si>
    <t>Depending on the nature and severity of a cyber security incident, there may be situations where law enforcement entities need to be contacted.
Incident response plans and procedures should include guidance on when law enforcement entities need to be contacted, and include contact details such as phone numbers.</t>
  </si>
  <si>
    <t>EDM-1</t>
  </si>
  <si>
    <t>Identify Dependencies</t>
  </si>
  <si>
    <t>EDM-1A</t>
  </si>
  <si>
    <t>Important IT and OT supplier dependencies are identified (i.e., external parties on which the delivery of the function depend, including operating partners), at least in an ad hoc manner</t>
  </si>
  <si>
    <t>Are you aware of any external vendors who the organisation is dependant on for the management, operation or support of business-critical IT or OT systems?</t>
  </si>
  <si>
    <t>EDM-1B</t>
  </si>
  <si>
    <t>Important customer dependencies are identified (i.e., external parties that are dependent on the delivery of the function including operating partners), at least in an ad hoc manner</t>
  </si>
  <si>
    <t>Are you aware of any external parties who are heavily dependent on your organisation? Examples may include critical energy customers, telecommunications networks, organisations which co-locate equipment in your data centre, etc.</t>
  </si>
  <si>
    <t>EDM-1C</t>
  </si>
  <si>
    <t>Supplier dependencies are identified according to established criteria</t>
  </si>
  <si>
    <t>Have you established specific criteria by which you can identify external vendors who the organisation is dependant on for the management, operation or support of business-critical IT or OT systems?
This activity is commonly performed within an organisation's Vendor/Category Management function.
EDM-1a must be completed as a pre-requisite for this practice.</t>
  </si>
  <si>
    <t>EDM-1D</t>
  </si>
  <si>
    <t>Customer dependencies are identified according to established criteria</t>
  </si>
  <si>
    <t>Have you established specific criteria by which you can identify external parties who are heavily dependant on your organisation? 
EDM-1b must be completed as a pre-requisite for this practice.
Completing this practice ensures that an organisation can consistently identify its downstream customer/partner dependencies.</t>
  </si>
  <si>
    <t>EDM-1E</t>
  </si>
  <si>
    <t>Single-source and other essential dependencies are identified</t>
  </si>
  <si>
    <t>Are any of your external vendor dependencies (refer EDM-1a and EDM-1c) known to be a single point of failure for a critical business function within your organisation? Examples of a single point of failure may include:
- You have implemented technology assets that are only able to be supported or maintained by a single vendor;
- Your organisation operates in a location that is serviced by a single provider of a given service (e.g. electricity supply, internet provider, etc.).</t>
  </si>
  <si>
    <t>EDM-1F</t>
  </si>
  <si>
    <t>Dependencies are prioritised</t>
  </si>
  <si>
    <t>Once external dependencies have been identified, are these prioritised in any way? Does the organisation know which suppliers and customers are most important/critical to the function? 
Prioritisation may include an assessment of potential impacts to the business should the third party cease to operate or their services become unavailable for a period of time. This prioritisation may be directly or indirectly informed by how an organisation prioritises its assets, for example a vendor that supports a business-critical asset may in turn be considered a business-critical vendor. 
EDM-1a or EDM-1b must be completed as a pre-requisite for this practice.</t>
  </si>
  <si>
    <t>EDM-1G</t>
  </si>
  <si>
    <t>Dependency prioritisation and identification are based on the function's or organisation's risk criteria (RM-1c)</t>
  </si>
  <si>
    <t>Is the prioritisation of external dependencies (refer EDM-1f) informed by a risk assessment conducted in accordance with your organisation's risk management framework? 
Completing this practice enables an organisation to identify, assess and manage third party dependency risks in a consistent and structured manner.</t>
  </si>
  <si>
    <t>EDM-2</t>
  </si>
  <si>
    <t>Manage Dependency Risk</t>
  </si>
  <si>
    <t>EDM-2A</t>
  </si>
  <si>
    <t>Significant Cyber Security risks due to suppliers and other dependencies are identified and addressed, at least in an ad hoc manner</t>
  </si>
  <si>
    <t>Have you assessed the Security risks associated with your existing third party technology vendors and providers?
Third party Security risks may include (but are not limited to):
- Availability risk arising from third parties who may become unable to provide business-critical products or services;
- Integrity risk arising from inappropriate third party use of persistent remote access;
- Confidentiality and privacy risk arising from third parties who fail to securely store or process sensitive information.</t>
  </si>
  <si>
    <t>EDM-2B</t>
  </si>
  <si>
    <t>Cyber Security requirements are considered, at least in an ad hoc manner, when establishing relationships with suppliers and other third parties</t>
  </si>
  <si>
    <t>When engaging with new external third parties, does your organisation consider whether the engagement will introduce any Cyber Security risks that need to be assessed and managed? Do you apply any Cyber Security requirements during the process of identifying, selecting and on boarding these third parties? 
Did you consider Security requirements when you engaged/on boarded your existing external technology vendors?</t>
  </si>
  <si>
    <t>EDM-2C</t>
  </si>
  <si>
    <t>Identified Cyber Security dependency risks are entered into the risk register (RM-2j)</t>
  </si>
  <si>
    <t>Do your organisation's Cyber Security risk registers (refer RM-2j) include any risks identified relating to the use of third party vendors? EDM-2a and RM-2j must be completed as a pre-requisite for this practice.
Documenting third party risks in the organisation's Cyber Security risk register enables the tracking and management of those risks in accordance with established risk management procedures.</t>
  </si>
  <si>
    <t>EDM-2D</t>
  </si>
  <si>
    <t>Contracts and agreements with third parties incorporate sharing of Cyber Security threat information</t>
  </si>
  <si>
    <t>When establishing any contract or agreement with a third party (e.g. software vendor, hardware vendor, contracted personnel), do you ensure that this includes provisions that require and enable the two parties to share Cyber threat information? EDM-2b must be completed as a pre-requisite for this practice.
Completing this practice ensures that the business function or organisation has a contractual and legal right to be notified of Cyber Security events that involve your third party suppliers.</t>
  </si>
  <si>
    <t>EDM-2E</t>
  </si>
  <si>
    <t>Cyber Security requirements are established for suppliers according to a defined practice, including requirements for secure software development practices where appropriate</t>
  </si>
  <si>
    <t>Building on EDM-2b, has your organisation defined formal Cyber Security requirements that must be considered when engaging new third party vendors? This may include specific requirements for different vendor types in accordance with the product/service they will be providing to the organisation.
EDM-2b must be completed as a pre-requisite for this practice.</t>
  </si>
  <si>
    <t>EDM-2F</t>
  </si>
  <si>
    <t>Agreements with suppliers and other external entities include Cyber Security requirements</t>
  </si>
  <si>
    <t>Building on EDM-2b, completing this practice ensures that an organisation's third party vendors are contractually obliged to operate and manage appropriate Cyber Security controls.</t>
  </si>
  <si>
    <t>EDM-2G</t>
  </si>
  <si>
    <t>Evaluation and selection of suppliers and other external entities includes consideration of their ability to meet Cyber Security requirements</t>
  </si>
  <si>
    <t>Building on EDM-2b and 2e, does your organisation seek to understand whether new external third party vendors are able to meet your defined Cyber Security requirements? Is there a formal process for performing these assessment? 
EDM-2b and EDM-2e must be completed as a pre-requisite for this practice.</t>
  </si>
  <si>
    <t>EDM-2H</t>
  </si>
  <si>
    <t>Agreements with suppliers require notification of Cyber Security incidents related to the delivery of the product or service</t>
  </si>
  <si>
    <t>Similar to EDM-2d, when establishing a contract or agreement with an external third party (e.g. software vendor, hardware vendor, contracted personnel), do you ensure that this includes provisions for the third party to notify your organisation of any Cyber Security incidents affecting their operations?
Completing this practice ensures that the business function or organisation has a contractual and legal right to be notified of Cyber Security incidents that involve your third party suppliers. 
EDM-2f must be completed as a pre-requisite for this practice</t>
  </si>
  <si>
    <t>EDM-2I</t>
  </si>
  <si>
    <t>Suppliers and other external entities are periodically reviewed for their ability to continually meet the Cyber Security requirements</t>
  </si>
  <si>
    <t>Do you periodically assess your existing external third party vendors to ensure that they are meeting the Cyber Security requirements defined in the applicable contract/agreement? This assessment could be targeted at particular vendors based on their risk profile, or more broadly as part of an ongoing vendor management/governance function.
Completing this practice ensures that the organisation maintains a current view of their external vendor risk profile, and is able to take any action required should that risk profile fall outside of the organisation's risk tolerance. 
EDM-2b, and EDM-2f must be completed as a pre-requisite for this practice</t>
  </si>
  <si>
    <t>EDM-2J</t>
  </si>
  <si>
    <t>Cyber Security risks due to external dependencies are managed according to the organisation's risk management criteria and process</t>
  </si>
  <si>
    <t>Does your organisation apply the same risk management processes (e.g. risk identification, documentation, tracking, review and reporting) to external third party risks as it does to other categories of Cyber Security risk? 
Completing this practice ensures that an organisation is managing all types of Cyber Security risk consistently in accordance with defined processes and risk criteria (refer RM-1c).
EDM-2c, RM-1j and RM-1c must be completed as a pre-requisite for this practice.</t>
  </si>
  <si>
    <t>EDM-2K</t>
  </si>
  <si>
    <t>Cyber Security requirements are established for supplier dependencies based on the organisation's risk criteria (RM-1c)</t>
  </si>
  <si>
    <t>Does your organisation identify and define third party Cyber Security requirements in a way that is linked to its assessment of third party Security risk identified in EDM-2j?
For example, a risk assessment may identify a Confidentiality risk relating to a third party who stores or processes Personally Identifiable Information (PII) collected by your organisation. The outcome of this risk assessment may identify several Security controls that you require the third party to implement (e.g. encryption or tokenisation of data). 
EDM-2e and RM-1c must be completed as a pre-requisite for this practice.</t>
  </si>
  <si>
    <t>EDM-2L</t>
  </si>
  <si>
    <t>Agreements with suppliers require notification of vulnerability-inducing product defects throughout the intended life cycle of delivered products</t>
  </si>
  <si>
    <t>Do your contracts/agreements with external third parties require that they inform you if they become aware that one of their products/services (which they supply to your organisation) is affected by a Security vulnerability?</t>
  </si>
  <si>
    <t>EDM-2M</t>
  </si>
  <si>
    <t>Acceptance testing of procured assets includes testing for Cyber Security requirements</t>
  </si>
  <si>
    <t>Prior to deploying new technology assets acquired from external third party vendors, organisations should test them to ensure that they will operate as expected and not have any adverse impact on the organisation's existing technology environment. 
Does your organisation perform such testing? If so, does this testing include assessment to identify any Cyber Security vulnerabilities or weaknesses?</t>
  </si>
  <si>
    <t>EDM-2N</t>
  </si>
  <si>
    <t>Information sources are monitored to identify and avoid supply chain threats (e.g., counterfeit parts, software, and services)</t>
  </si>
  <si>
    <t>Does your organisation have processes in place to identify and respond to Cyber threats affecting its supply chain? This may include monitoring external threat intelligence sources (refer ISC-1a, TVM-1a, TVM-2a).
State-sponsored Cyber threat actors are known to exploit organisations' technology supply chains in order to introduce Cyber Security vulnerabilities that can be exploited for the purposes of corporate espionage or malicious attack.</t>
  </si>
  <si>
    <t>WM-1</t>
  </si>
  <si>
    <t>Assign Cyber Security Responsibilities</t>
  </si>
  <si>
    <t>WM-1A</t>
  </si>
  <si>
    <t>Cyber Security responsibilities for the function are identified, at least in an ad hoc manner</t>
  </si>
  <si>
    <t>Has the organisation defined the Cyber Security activities and processes which it needs to operate and maintain?</t>
  </si>
  <si>
    <t>WM-1B</t>
  </si>
  <si>
    <t>Cyber Security responsibilities are assigned to specific people, at least in an ad hoc manner</t>
  </si>
  <si>
    <t>Are the Cyber Security activities identified in WM-1a assigned to specific people within the organisation?</t>
  </si>
  <si>
    <t>WM-1C</t>
  </si>
  <si>
    <t>Cyber Security responsibilities are assigned to specific roles, including external service providers</t>
  </si>
  <si>
    <t>Rather than informally assigning Cyber Security responsibilities to individuals on an ad-hoc or best-efforts basis (refer WM-1b), has the organisation formally mapped its defined Cyber Security activities to specific roles or functions within the organisational structure? 
An organisation may also decide to outsource the operation, management and support of some Cyber Security activities to external service providers, and this should also be reflected in the mapping of activities to roles.</t>
  </si>
  <si>
    <t>WM-1D</t>
  </si>
  <si>
    <t>Cyber Security responsibilities are documented (e.g., in position descriptions)</t>
  </si>
  <si>
    <t>Building on WM-1b and WM-1c, has the organisation formally documented the mapping of Cyber Security responsibilities to specific roles? This may include defining Cyber Security responsibilities in employee position descriptions, as well as within applicable policy, process and procedure documentation (e.g. RACI tables).</t>
  </si>
  <si>
    <t>WM-1E</t>
  </si>
  <si>
    <t>Cyber Security responsibilities and job requirements are reviewed and updated as appropriate</t>
  </si>
  <si>
    <t>The Cyber Security activities performed by an organisation may change over time due to a range of factors, including:
- Changes in the Cyber threat environment;
- Introduction of new regulation and legislation;
- Broader organisational strategies that push towards in-sourcing or out-sourcing of Cyber Security capabilities.
As such, it is important that an organisation periodically assesses whether its existing Cyber Security capabilities are still meeting the needs of the business. This may result in changes to the structure or activities of the Cyber Security function.</t>
  </si>
  <si>
    <t>WM-1F</t>
  </si>
  <si>
    <t>Cyber Security responsibilities are included in job performance evaluation criteria</t>
  </si>
  <si>
    <t>Do you include the assigned and documented Cyber Security personnel requirements in job performance and evaluation criteria (e.g. performance reviews, promotional consideration, Key Performance Indicators (KPI))? 
Completing this practice ensures that the business function or organisation has established criteria to assess the ongoing suitability of personnel in roles with assigned Cyber Security requirements</t>
  </si>
  <si>
    <t>WM-1G</t>
  </si>
  <si>
    <t>Assigned Cyber Security responsibilities are managed to ensure adequacy and redundancy of coverage</t>
  </si>
  <si>
    <t>Do you also ensure that key person risks within the organisation's Cyber Security function are reduced  through cross-skilling of staff or other contingency measures?</t>
  </si>
  <si>
    <t>WM-2</t>
  </si>
  <si>
    <t>Control the Workforce Life Cycle</t>
  </si>
  <si>
    <t>WM-2A</t>
  </si>
  <si>
    <t>Personnel vetting (e.g., background checks, drug tests) is performed, at least in an ad hoc manner, at hire for positions that have access to the assets required for delivery of the function</t>
  </si>
  <si>
    <t>Do you conduct background checks and other vetting procedures when hiring personnel into positions that have access to business-critical assets? 
Examples may include system administrators, control room operators, etc.</t>
  </si>
  <si>
    <t>WM-2B</t>
  </si>
  <si>
    <t>Personnel termination procedures address Cyber Security, at least in an ad hoc manner</t>
  </si>
  <si>
    <t>Are Cyber Security requirements considered when someone moves on from the organisation? Examples may include:
- Return of IT assets which may contain sensitive information (laptops, smartphones, etc.);
- Deprovisioning of user identities, access and credentials to systems;
- Enhanced monitoring for suspicious user behaviour in cases where employment was terminated for disciplinary reasons.</t>
  </si>
  <si>
    <t>WM-2C</t>
  </si>
  <si>
    <t>Personnel vetting is performed at an organisation-defined frequency for positions that have access to the assets required for delivery of the function</t>
  </si>
  <si>
    <t>Are the background checks and other vetting procedures defined in WM-2a re-performed periodically for staff with access to business-critical assets?
Completing this practice ensures that the business function or organisation has acknowledged that the results of personnel vetting may change over time, and that personnel who are suitable for a role at hire may not be suitable for a role at a later point in time.</t>
  </si>
  <si>
    <t>WM-2D</t>
  </si>
  <si>
    <t>Personnel transfer procedures address Cyber Security</t>
  </si>
  <si>
    <t>When personnel transfer between roles internally, does the transfer procedure include consideration of any specific Cyber Security requirements?
Examples may include reviewing and updating access to systems based on changing job responsibilities.</t>
  </si>
  <si>
    <t>WM-2E</t>
  </si>
  <si>
    <t>Risk designations are assigned to all positions that have access to the assets required for delivery of the function</t>
  </si>
  <si>
    <t>Are job roles/positions within the organisation specifically identified as low/medium/high risk (or some other organisationally-defined designation) in accordance with the activities performed by those personnel? 
For example, are personnel with privileged access to business-critical assets (e.g. system administrators, control room operators, etc.) identified as high-risk?</t>
  </si>
  <si>
    <t>WM-2F</t>
  </si>
  <si>
    <t>Vetting is performed for all positions (including employees, vendors, and contractors) at a level commensurate with position risk designation</t>
  </si>
  <si>
    <t>Building on WM-2a and WM-2c, do you change the level of vetting that is performed for a position based on its risk designation (WM-2e)? If so, does this occur equally for internal and external personnel? 
Completing this practice ensures that the business function or organisation has acknowledged the potential for insider threats to arise, both from internal personnel and third parties (contractors, suppliers, other entities). In some cases, personnel vetting commensurate with risk designation is mandated within a Network Service Provider's Operating License. Ensure that this has been considered when completing this practice</t>
  </si>
  <si>
    <t>WM-2G</t>
  </si>
  <si>
    <t>Succession planning is performed for personnel based on risk designation</t>
  </si>
  <si>
    <t>Similar to WM-1g, have you planned in advance for the succession of key personnel who have a high risk designation? If not, why not?
Completing this practice ensures that key personnel who have a high risk designation have had their resignation or exit process defined in advance, and that redundancy of coverage has been considered (WM-1g)</t>
  </si>
  <si>
    <t>WM-2H</t>
  </si>
  <si>
    <t>A formal accountability process that includes disciplinary actions is implemented for personnel who fail to comply with established Security policies and procedures</t>
  </si>
  <si>
    <t>Disciplinary processes would typically be managed by an organisation's Human Resources (HR / HC) function, consistent with how breaches of other policy are handled.</t>
  </si>
  <si>
    <t>WM-3</t>
  </si>
  <si>
    <t>Develop Cyber Security Workforce</t>
  </si>
  <si>
    <t>WM-3A</t>
  </si>
  <si>
    <t>Cyber Security training is made available, at least in an ad hoc manner, to personnel with assigned Cyber Security responsibilities</t>
  </si>
  <si>
    <t>Does the organisation provide Cyber Security training to personnel with assigned Cyber Security responsibilities (refer WM-1b)?</t>
  </si>
  <si>
    <t>WM-3B</t>
  </si>
  <si>
    <t>Cyber Security knowledge, skill, and ability gaps are identified</t>
  </si>
  <si>
    <t>An organisation may identify that there are Cyber Security activities which are not able to be carried out by the existing workforce, requiring up-skilling of staff or hiring of new personnel.</t>
  </si>
  <si>
    <t>WM-3C</t>
  </si>
  <si>
    <t>Identified gaps are addressed through recruiting and/or training</t>
  </si>
  <si>
    <t>Where Cyber Security skills/capability gaps are identified (refer WM-3b), does the organisation take steps to fill these?</t>
  </si>
  <si>
    <t>WM-3D</t>
  </si>
  <si>
    <t>Cyber Security training is provided as a prerequisite to granting access to assets that support the delivery of the function (e.g., new personnel training, personnel transfer training)</t>
  </si>
  <si>
    <t>An organisation may identify certain systems or assets that, due to their business criticality or risk profile, warrant specific user training to be undertaken prior to personnel being given access. 
Examples may include an Energy Management System, SCADA application or Control Room.</t>
  </si>
  <si>
    <t>WM-3E</t>
  </si>
  <si>
    <t>Cyber Security workforce management objectives that support current and future operational needs are established and maintained</t>
  </si>
  <si>
    <t>Has the organisation defined forward-looking objectives for its Cyber Security workforce to ensure that it can continue to implement, operate and improve the required Cyber Security capabilities and controls?
An example objective may include targeted hiring of specific Cyber Security skillsets (e.g. threat detection, incident response, etc.).</t>
  </si>
  <si>
    <t>WM-3F</t>
  </si>
  <si>
    <t>Recruiting and retention are aligned to support Cyber Security workforce management objectives</t>
  </si>
  <si>
    <t>Does the organisation maintain a staff recruitment/continuity plan that covers its Cyber Security workforce? Has the plan been reviewed to ensure that it aligns to and supports the objectives defined in WM-3e?</t>
  </si>
  <si>
    <t>WM-3G</t>
  </si>
  <si>
    <t>Training programs are aligned to support Cyber Security workforce management objectives</t>
  </si>
  <si>
    <t>Does the organisation maintain a staff training/development plan that covers its Cyber Security workforce? Has the plan been reviewed to ensure that it aligns to and supports the objectives defined in WM-3e?</t>
  </si>
  <si>
    <t>WM-3H</t>
  </si>
  <si>
    <t>The effectiveness of training programs is evaluated at an organisation-defined frequency and improvements are made as appropriate</t>
  </si>
  <si>
    <t>Has the organisation established how it will measure the effectiveness of Cyber Security training activities?
One example may involve conducting red-teaming exercises to test the effectiveness of Security event detection capabilities.</t>
  </si>
  <si>
    <t>WM-3I</t>
  </si>
  <si>
    <t>Training programs include continuing education and professional development opportunities for personnel with significant Cyber Security responsibilities</t>
  </si>
  <si>
    <t>Does the organisation maintain professional development plans for personnel with key Cyber Security responsibilities? Development plans may highlight the need for staff to uplift certain skillsets or obtain specific qualifications or certifications.</t>
  </si>
  <si>
    <t>WM-4</t>
  </si>
  <si>
    <t>Increase Cyber Security Awareness</t>
  </si>
  <si>
    <t>WM-4A</t>
  </si>
  <si>
    <t>Cyber Security awareness activities occur, at least in an ad hoc manner</t>
  </si>
  <si>
    <t>Does the organisation seek to increase the Cyber Security awareness of its workforce?</t>
  </si>
  <si>
    <t>WM-4B</t>
  </si>
  <si>
    <t>Objectives for Cyber Security awareness activities are established and maintained</t>
  </si>
  <si>
    <t>Has the organisation defined specific objectives for its Cyber Security awareness program? 
Example objectives may include:
- Increasing the level of Cyber Security vigilance across the general user population;
- Reduce the number of Security incidents raised due to users clicking on suspicious links in phishing emails.</t>
  </si>
  <si>
    <t>WM-4C</t>
  </si>
  <si>
    <t>Cyber Security awareness content is based on the organisation's threat profile (TVM-1d)</t>
  </si>
  <si>
    <t>Are the organisation's Cyber Security awareness initiatives specifically designed to address components of the organisation's Cyber threat profile (TVM-1d)? 
For example, if the threat profile has identified increase in spear-phishing attempts, are the Cyber Security awareness activities focused on how to identify and avoid a phishing email?
TVM-1d must be completed as a pre-requisite to this practice.</t>
  </si>
  <si>
    <t>WM-4D</t>
  </si>
  <si>
    <t>Cyber Security awareness activities are aligned with the predefined states of operation (SA-3f)</t>
  </si>
  <si>
    <t>Are the organisation's Cyber Security awareness initiatives specifically adjusted in accordance with the pre-defined states of operation (refer SA-3f) and the broader Common Operating Picture (refer SA-3)?
For example, if the COP was elevated due to the identification of an active Cyber threat, does the organisation invoke pre-planned awareness mechanisms (e.g. whole-of-staff notification emails)?
SA-3f must be completed as a pre-requisite to this practice.</t>
  </si>
  <si>
    <t>WM-4E</t>
  </si>
  <si>
    <t>The effectiveness of Cyber Security awareness activities is evaluated at an organisation-defined frequency and improvements are made as appropriate</t>
  </si>
  <si>
    <t>Has the organisation established how it will measure the effectiveness of Cyber Security training activities?
One example may involve conducting periodic phishing simulations to determine the overall Cyber Security awareness level of staff.</t>
  </si>
  <si>
    <t>WM-AP</t>
  </si>
  <si>
    <t>WM Anti-Patterns</t>
  </si>
  <si>
    <t>WM-AP1</t>
  </si>
  <si>
    <t>Cyber security capabilities are dependent on one or two key personnel and no succession plan is in place to ensure retention of critical knowledge</t>
  </si>
  <si>
    <t>Over time, organisations build cyber security knowledge that can become critical to the ongoing operation of their cyber security capabilities. If this cyber security knowledge is not documented, and only shared with one or two key personnel, then it may be lost should those personnel resign - especially if there is no succession plan in place.
Cyber security knowledge that is critical to the ongoing operation of your cyber security capabilities should be documented and transitioned to the appropriate personnel as part of succession planning.</t>
  </si>
  <si>
    <t>WM-AP2</t>
  </si>
  <si>
    <t>Personnel interacting with critical assets are not assigned additional cyber security responsibilities</t>
  </si>
  <si>
    <t>Critical assets (such as networks, systems, and applications) often carry a higher-risk of malicious targeting.
As a result, you should ensure that personnel who interact with these assets have been assigned additional cyber security responsibilities.
An example of an additional cyber security responsibility is ensuring that personnel who interact with critical assets have undergone advanced cyber security awareness training.</t>
  </si>
  <si>
    <t>WM-AP3</t>
  </si>
  <si>
    <t>Personnel interacting with critical assets are not aware of their additional assigned cyber security responsibilities (WM-AP2)</t>
  </si>
  <si>
    <t>WM-AP2 must be Not Present for this Anti-Pattern to be Not Present.
Similarly to WM-AP3, personnel who interact with critical assets (such as networks, systems, and applications) should be aware of their additional assigned cyber security responsibilities.</t>
  </si>
  <si>
    <t>APM-1</t>
  </si>
  <si>
    <t>Manage personal information and privacy</t>
  </si>
  <si>
    <t>APM-1A</t>
  </si>
  <si>
    <t>Privacy requirements applicable to the organisation have been identified, even in an ad-hoc manner.</t>
  </si>
  <si>
    <t>Privacy requirements may be imposed by applicable legislation, for example:
- Federal legislation (Privacy Act);
- State-based legislation (e.g. Health Records and Information Privacy Act 2002 NSW, Health Records Act 2001 VIC, Health Records Privacy and Access Act 1997 ACT).
Privacy requirements may also be imposed by contracts/agreements with customers or suppliers.</t>
  </si>
  <si>
    <t>APM-1B</t>
  </si>
  <si>
    <t>The organisation has defined what it considers personal information in the context of its business activities, even in an ad-hoc manner.</t>
  </si>
  <si>
    <t>Do you have a defined understanding of what 'personal information' means within your organisation? Does your organisation understand why they collect, use and hold personal information?</t>
  </si>
  <si>
    <t>APM-1C</t>
  </si>
  <si>
    <t>There is a point of contact (person or role) to whom privacy issues could be reported, even in an ad-hoc manner.</t>
  </si>
  <si>
    <t>Do you have a commonly acknowledged place to report perceived or real privacy issues?</t>
  </si>
  <si>
    <t>APM-1D</t>
  </si>
  <si>
    <t>Business activities which involve the collection, processing, storage or transmission of personal information have been identified</t>
  </si>
  <si>
    <t>Has your organisation identified which business activities collect, process, store, and use personal information? For example, personal information being collected to on-board a new customer.</t>
  </si>
  <si>
    <t>APM-1E</t>
  </si>
  <si>
    <t>The organisation's personal information holdings are documented</t>
  </si>
  <si>
    <t>The organisation documents where (onshore or offshore) and how personal information is collected, processed, stored and transmitted as part of business activities. This might include business processes, IT systems, third party vendors, etc.</t>
  </si>
  <si>
    <t>APM-1F</t>
  </si>
  <si>
    <t>A privacy policy has been documented and communicated within the organisation and the general public</t>
  </si>
  <si>
    <t>Does your organisation have a privacy policy that is available for public access?</t>
  </si>
  <si>
    <t>APM-1G</t>
  </si>
  <si>
    <t>The organisation's requirements for handling of personal information have been defined within the privacy policy</t>
  </si>
  <si>
    <t>Do you have a defined understanding of how to handle personal information? Does your understanding conform with the privacy policy?</t>
  </si>
  <si>
    <t>APM-1H</t>
  </si>
  <si>
    <t>Specific roles and accountabilities have been assigned for privacy management within the organisation</t>
  </si>
  <si>
    <t>Does your organisations have defined roles and accountabilities for privacy management?</t>
  </si>
  <si>
    <t>APM-1I</t>
  </si>
  <si>
    <t>A privacy management plan has been implemented to govern the organisation's ongoing compliance with applicable privacy requirements</t>
  </si>
  <si>
    <t>Does your privacy management plan drive ongoing compliance with your organisation's privacy requirements?
A privacy management plan defined by the Office of the Australia Information Commissioner is a document that identifies specific, measurable goals and targets that identify how you will meet your privacy obligation commitments</t>
  </si>
  <si>
    <t>APM-1J</t>
  </si>
  <si>
    <t>Privacy related risks have been identified, assessed and documented in a risk register</t>
  </si>
  <si>
    <t>Does your organisation have a risk register that documents privacy related risks?</t>
  </si>
  <si>
    <t>APM-1K</t>
  </si>
  <si>
    <t>A documented process exists for responding to privacy enquiries and complaints, including customer correction of their personal information</t>
  </si>
  <si>
    <t>Does your organisation have documented procedures on how to handle enquiries and complaints, including procedures on how customers' can correct their personal information?</t>
  </si>
  <si>
    <t>APM-1L</t>
  </si>
  <si>
    <t>The organisation provides privacy training to staff responsible for handling personal information</t>
  </si>
  <si>
    <t>Does your organisation provide privacy training to your staff?</t>
  </si>
  <si>
    <t>APM-1M</t>
  </si>
  <si>
    <t>Existing incident response plan specifically consider data breach scenarios involving personal information</t>
  </si>
  <si>
    <t>Does your organisation have an incident response management plan for personal information data breach events?</t>
  </si>
  <si>
    <t>APM-1N</t>
  </si>
  <si>
    <t>Incident response plans for data breach scenarios are tested periodically and updated based on improvement opportunities identified</t>
  </si>
  <si>
    <t>Does your organisation test the incident response plan for data breach scenarios, at least once a year?</t>
  </si>
  <si>
    <t>APM-1O</t>
  </si>
  <si>
    <t>The organisation's compliance with applicable privacy requirements is periodically assessed and reported to senior management</t>
  </si>
  <si>
    <t>Does your organisation review its privacy obligations at least once a year, to ensure compliance with state, federal and international obligations and/or licensing agreements?</t>
  </si>
  <si>
    <t>APM-1P</t>
  </si>
  <si>
    <t>The privacy management plan is periodically updated to reflect the changing threat and regulatory environment</t>
  </si>
  <si>
    <t>Does your organisation review and update your privacy management plan at least once a year?</t>
  </si>
  <si>
    <t>APM-AP</t>
  </si>
  <si>
    <t>APM Anti-Patterns</t>
  </si>
  <si>
    <t>APM-AP1</t>
  </si>
  <si>
    <t>The function is unaware whether personal information is collected</t>
  </si>
  <si>
    <t>Personal Information is also referred to as Personally Identifiable Information (PII). The Australian Privacy Act defines personal information as information or an opinion about an identified individual, or an individual who is reasonably identifiable:
(a) whether the information or opinion is true or not; and
(b) whether the information or opinion is recorded in a material form or not.
One example of PII is a spreadsheet that contains the name, phone number, and email address of one or more individuals. There are many other examples.
Under the Notifiable Data Breaches (NDB) scheme any organisation or agency the Privacy Act 1988 covers must notify affected individuals and the OAIC when a data breach is likely to result in serious harm to an individual whose personal information is involved. Additional information can be obtained from the Australian Government Office of the Australian Information Commissioner (OAIC).</t>
  </si>
  <si>
    <t>Summary of AESCSF Self-Assessment Results by Percentage Completion of Maturity Indicator Level (MIL)</t>
  </si>
  <si>
    <t>Overall Maturity Indicator Level (MIL) Achieved (2022)</t>
  </si>
  <si>
    <t>Overall Maturity Score (2022)</t>
  </si>
  <si>
    <t>Summary of AESCSF Self-Assessment Results by Domain and Maturity Indicator Level (MIL)</t>
  </si>
  <si>
    <t>MIL-3</t>
  </si>
  <si>
    <t>MIL-2</t>
  </si>
  <si>
    <t>MIL-1</t>
  </si>
  <si>
    <t>RM</t>
  </si>
  <si>
    <t>CPM</t>
  </si>
  <si>
    <t>ACM</t>
  </si>
  <si>
    <t>IAM</t>
  </si>
  <si>
    <t>ISC</t>
  </si>
  <si>
    <t>TVM</t>
  </si>
  <si>
    <t>SA</t>
  </si>
  <si>
    <t>IR</t>
  </si>
  <si>
    <t>EDM</t>
  </si>
  <si>
    <t>WM</t>
  </si>
  <si>
    <t>APM</t>
  </si>
  <si>
    <t>Anti-Pattern</t>
  </si>
  <si>
    <t>Overall</t>
  </si>
  <si>
    <t>Overall Security Profile (SP) Achieved (2022)</t>
  </si>
  <si>
    <t>Overall Security Profile (SP) Score (2022)</t>
  </si>
  <si>
    <t>Summary of AESCSF Self-Assessment Results by Domain and Security Profile (SP)</t>
  </si>
  <si>
    <t>AP</t>
  </si>
  <si>
    <t>SP-3 Achieved</t>
  </si>
  <si>
    <t>SP-2 Achieved</t>
  </si>
  <si>
    <t>SP-1 Achieved</t>
  </si>
  <si>
    <t>Term</t>
  </si>
  <si>
    <t>Definition</t>
  </si>
  <si>
    <t>Source</t>
  </si>
  <si>
    <t>access</t>
  </si>
  <si>
    <t>Ability and means to enter a facility, to communicate with or otherwise interact with a system, to use system resources to handle information, to gain knowledge of the information the system contains, or to control system components and functions.</t>
  </si>
  <si>
    <t>Adapted from CNSSI 4009</t>
  </si>
  <si>
    <t>access control</t>
  </si>
  <si>
    <t>Limiting access to organisational assets only to authorised entities (e.g., users, programs, processes, or other systems). See asset.</t>
  </si>
  <si>
    <t>access management</t>
  </si>
  <si>
    <t>Management processes to ensure that access granted to the organisation's assets is commensurate with the risk to critical infrastructure and organisational objectives. See access control and asset.</t>
  </si>
  <si>
    <t>Adapted from CERT RMM</t>
  </si>
  <si>
    <t>ad hoc</t>
  </si>
  <si>
    <t>In the context of this model, ad hoc (i.e., an ad hoc practice) refers to performing a practice in a manner that depends largely on the initiative and experience of an individual or team (and team leadership), without much in the way of organisational guidance in the form of a prescribed plan (verbal or written), policy, or training. The methods, tools, and techniques used, the priority given a particular instance of the practice, and the quality of the outcome may vary significantly depending on who is performing the practice, when it is performed, and the context of the problem being addressed. With experienced and talented personnel, high-quality outcomes may be achieved even though practices are ad hoc. However, because lessons learned are typically not captured at the organisational level, approaches and outcomes are difficult to repeat or improve across the organisation.</t>
  </si>
  <si>
    <t>ES-C2M2</t>
  </si>
  <si>
    <t>advanced metering infrastructure (AMI)</t>
  </si>
  <si>
    <t>Advanced Metering Infrastructure (AMI) refers to systems that measure, collect, and analyse energy usage, from advanced devices such as 'smart' electricity meters, gas meters, and/or water meters, through various communication media on request or on a predefined schedule.</t>
  </si>
  <si>
    <t>Adapted from SGMM v1.1 Glossary</t>
  </si>
  <si>
    <t>anomalous</t>
  </si>
  <si>
    <t>Inconsistent with or deviating from what is usual, normal, or expected.</t>
  </si>
  <si>
    <t>Merriam- Webster.com</t>
  </si>
  <si>
    <t>anomaly</t>
  </si>
  <si>
    <t>See anomalous.</t>
  </si>
  <si>
    <t>asset</t>
  </si>
  <si>
    <t>Something of value to the organisation. Assets include many things, including technology, information, roles performed by personnel, and facilities. For the purposes of this model, assets to be considered are IT and OT hardware and software assets, as well as information essential to operating the function.</t>
  </si>
  <si>
    <t>asset owner</t>
  </si>
  <si>
    <t>A person or organisational unit, internal or external to the organisation, that has primary responsibility for the viability, productivity, and resilience of an organisational asset.</t>
  </si>
  <si>
    <t>CERT RMM</t>
  </si>
  <si>
    <t>Australian Energy Market Operator (AEMO)</t>
  </si>
  <si>
    <t>The Australian Energy Market Operator (AEMO) is responsible for operating Australia's largest gas and electricity markets and power systems, including the National Electricity Market (NEM), the interconnected power system in Australia's eastern and south-eastern seaboard and Wholesale Electricity Market (WEM) and power system in Western Australia.</t>
  </si>
  <si>
    <t>aemo.com.au</t>
  </si>
  <si>
    <t>Australian Energy Regulator (AER)</t>
  </si>
  <si>
    <t>The AER regulates wholesale and retail energy markets, and energy networks, under national energy legislation and rules. The AER functions mostly relate to energy markets in eastern and southern Australia</t>
  </si>
  <si>
    <t>aer.gov.au</t>
  </si>
  <si>
    <t>authentication</t>
  </si>
  <si>
    <t>Verifying the identity of a user, process, or device, often as a prerequisite to allowing access to resources in an IT or ICS.</t>
  </si>
  <si>
    <t>DOE RMP</t>
  </si>
  <si>
    <t>authenticator</t>
  </si>
  <si>
    <t>The means used to confirm the identity of a user, processor, or device (e.g., user password or token).</t>
  </si>
  <si>
    <t>NIST 800-53</t>
  </si>
  <si>
    <t>availability</t>
  </si>
  <si>
    <t>Ensuring timely and reliable access to and use of information. For an asset, the quality of being accessible to authorised users (people, processes, or devices) whenever it is needed.</t>
  </si>
  <si>
    <t>DOE RMP &amp; CERT RMM</t>
  </si>
  <si>
    <t>business impact analysis</t>
  </si>
  <si>
    <t>A mission impact analysis that prioritises the impact associated with the compromise of an organisation's information assets, based on a qualitative or quantitative assessment of the sensitivity and criticality of those assets.</t>
  </si>
  <si>
    <t>Adapted from NIST SP800-30</t>
  </si>
  <si>
    <t>capacity</t>
  </si>
  <si>
    <t>Maximum electric output an electricity generator can produce under specific conditions.</t>
  </si>
  <si>
    <t>AESCSF</t>
  </si>
  <si>
    <t>change control (change management)</t>
  </si>
  <si>
    <t>A continuous process of controlling changes to information or technology assets, related infrastructure, or any aspect of services, enabling approved changes with minimum disruption.</t>
  </si>
  <si>
    <t>commercial customer</t>
  </si>
  <si>
    <t>An entity engaged in establishing and maintaining;_x000D_
- Any utility (water, gas, telecommunications) that is not a critical customer (see critical customer);_x000D_
- Hospitals, aged-care facilities (including any individual customer who has life-support equipment located at their residential address);_x000D_
- Traffic lights and emergency services (Police, fire, ambulance);_x000D_
- Heavy industry;_x000D_
- Cold storage facilities;_x000D_
- Food processing/fresh producers;_x000D_
- Sporting stadiums;_x000D_
- Large shopping centres, and;_x000D_
- Large office buildings._x000D_
_x000D_
This list is provided as a guide only, and is not an exhaustive list of commercial customer types.</t>
  </si>
  <si>
    <t>computer security incident</t>
  </si>
  <si>
    <t>A violation or imminent threat of violation of computer security policies, acceptable use policies, or standard security practices. An 'imminent threat of violation' refers to a situation in which the organisation has a factual basis for believing that a specific incident is about to occur. For example, the antivirus software maintainers may receive a bulletin from the software vendor, warning them of new malware that is rapidly spreading across the Internet. Also, see incident.</t>
  </si>
  <si>
    <t>NIST 800-61 (computer security incident)</t>
  </si>
  <si>
    <t>confidentiality</t>
  </si>
  <si>
    <t>The preservation of authorised restrictions on information access and disclosure, including means for protecting personal privacy and proprietary information. For an information asset, confidentiality is the quality of being accessible only to authorised people, processes, and devices.</t>
  </si>
  <si>
    <t>DOE RMP &amp; Adapted from CERT RMM</t>
  </si>
  <si>
    <t>configuration baseline</t>
  </si>
  <si>
    <t>A documented set of specifications for an IT or OT system or asset, or a configuration item within a system, that has been formally reviewed and agreed upon at a given point in time, and which should be changed only through change control procedures. The configuration baseline is used as a basis for future builds, releases, and/or changes.</t>
  </si>
  <si>
    <t>Adapted from NIST 800-53 Glossary</t>
  </si>
  <si>
    <t>configuration management</t>
  </si>
  <si>
    <t>A collection of activities focused on establishing and maintaining the integrity of assets, through control of the processes for initialising, changing, and monitoring the configurations of those assets throughout their life cycle.</t>
  </si>
  <si>
    <t>NIST SP 800-128</t>
  </si>
  <si>
    <t>contingency plan</t>
  </si>
  <si>
    <t>Management policy and procedures used to guide an enterprise response to a perceived loss of mission capability. The contingency plan is the first plan used by the enterprise risk managers to determine what happened, why, and what to do. It may point to the continuity of operations plan or disaster recovery plan for major disruptions.</t>
  </si>
  <si>
    <t>CNSSI 4009</t>
  </si>
  <si>
    <t>continuous monitoring</t>
  </si>
  <si>
    <t>Maintaining ongoing awareness of the current cybersecurity state of the function throughout the operational environment by collecting, analysing, alarming, presenting, and using power system and cybersecurity information to identify anomalous activities, vulnerabilities, and threats to the function in order to support incident response and organisational risk management decisions.</t>
  </si>
  <si>
    <t>Adapted from NIST 800-137</t>
  </si>
  <si>
    <t>controls</t>
  </si>
  <si>
    <t>The management, operational, and technical methods, policies, and procedures-manual or automated-(i.e., safeguards or countermeasures) prescribed for an IT and ICS to protect the confidentiality, integrity, and availability of the system and its information.</t>
  </si>
  <si>
    <t>Council of Australian Governments (COAG) Energy Council</t>
  </si>
  <si>
    <t>The role of COAG is to initiate, develop and monitor the implementation of policy reforms that are of national significance and which require cooperative action by Australian governments.</t>
  </si>
  <si>
    <t>coag.gov.au</t>
  </si>
  <si>
    <t>credential</t>
  </si>
  <si>
    <t>An object or data structure that authoritatively binds an identity (and optionally, additional attributes) to a token possessed and controlled by a Subscriber.</t>
  </si>
  <si>
    <t>NIST SP 800-63-2</t>
  </si>
  <si>
    <t>critical customer</t>
  </si>
  <si>
    <t>Any customer that operates a critical infrastructure asset. See critical infrastructure.</t>
  </si>
  <si>
    <t>critical electricity asset</t>
  </si>
  <si>
    <t>A network, system, or interconnector, for the transmission or distribution of electricity to ultimately service at least 100,000 customers or an electricity generator station that is critical to ensuring the security and reliability of electricity networks or electricity systems in a State or Territory</t>
  </si>
  <si>
    <t>SOCI, Section 10</t>
  </si>
  <si>
    <t>critical infrastructure</t>
  </si>
  <si>
    <t>Critical Infrastructure are pieces of infrastructure that would have a significant impact to Australia if they were disrupted. The Security of Critical Infrastructure Act (SOCI) defines Critical Infrastructure as:_x000D_
_x000D_
An asset is a critical infrastructure asset if it is:_x000D_
(a)  a critical electricity asset; or_x000D_
(b)  a critical port; or_x000D_
(c)  a critical water asset; or_x000D_
(d)  a critical gas asset; or_x000D_
(e)  an asset declared under section 51 (of the act) to be a critical infrastructure asset; or_x000D_
(f)  an asset prescribed by the rules for the purposes of this paragraph.</t>
  </si>
  <si>
    <t>SOCI, Section 9</t>
  </si>
  <si>
    <t>current</t>
  </si>
  <si>
    <t>Updated at an organisation-defined frequency (e.g., as in the asset inventory is kept 'current') that is selected such that the risks to critical infrastructure and organisation objectives associated with being out-of-date by the maximum interval between updates are acceptable to the organisation and its stakeholders.</t>
  </si>
  <si>
    <t>customer</t>
  </si>
  <si>
    <t>Any individual (or entity) who purchases a non-commercial quantity of electricity. See commercial customer.</t>
  </si>
  <si>
    <t>cyber attack</t>
  </si>
  <si>
    <t>An attack, via cyberspace, targeting an enterprise's use of cyberspace for the purpose of disrupting, disabling, destroying, or maliciously controlling a computing environment/infrastructure, or for destroying the integrity of the data or stealing controlled information.</t>
  </si>
  <si>
    <t>cybersecurity</t>
  </si>
  <si>
    <t>The ability to protect or defend the use of cyberspace from cyber attacks. Measures taken to protect a computer or computerised system (IT and OT) against unauthorised access or attack.</t>
  </si>
  <si>
    <t>DOE RMP and Merriam- Webster.com</t>
  </si>
  <si>
    <t>cybersecurity architecture</t>
  </si>
  <si>
    <t>An integral part of the enterprise architecture that describes the structure and behaviour for an enterprise's security processes, cybersecurity systems, personnel, and subordinate organisations, showing their alignment with the organisation's mission and strategic plans. See enterprise architecture and network architecture.</t>
  </si>
  <si>
    <t>cybersecurity event</t>
  </si>
  <si>
    <t>Any observable occurrence in a system or network that is related to a cybersecurity requirement (confidentiality, integrity, or availability). See also event.</t>
  </si>
  <si>
    <t>cybersecurity impact</t>
  </si>
  <si>
    <t>The effect on the measures that are in place to protect from and defend against cyber attack.</t>
  </si>
  <si>
    <t>cybersecurity plan</t>
  </si>
  <si>
    <t>Formal document that provides an overview of the cybersecurity requirements for an IT and ICS and describes the cybersecurity controls in place or planned for meeting those requirements.</t>
  </si>
  <si>
    <t>cybersecurity policy</t>
  </si>
  <si>
    <t>A set of criteria for the provision of security services.</t>
  </si>
  <si>
    <t>cybersecurity program</t>
  </si>
  <si>
    <t>A cybersecurity program is an integrated group of activities designed and managed to meet cybersecurity objectives for the organisation and/or the function. A cybersecurity program may be implemented at either the organisation or the function level, but a higher-level implementation and enterprise viewpoint may benefit the organisation by integrating activities and leveraging resource investments across the entire enterprise.</t>
  </si>
  <si>
    <t>cybersecurity program strategy</t>
  </si>
  <si>
    <t>A plan of action designed to achieve the performance targets that the organisation sets to accomplish its mission, vision, values, and purpose for the cybersecurity program.</t>
  </si>
  <si>
    <t>cybersecurity requirements</t>
  </si>
  <si>
    <t>Requirements levied on IT and OT that are derived from organisational mission and business case needs (in the context of applicable legislation, Executive Orders, directives, policies, standards, instructions, regulations, procedures) to ensure the confidentiality, integrity, and availability of the services being provided by the organisation and the information being processed, stored, or transmitted.</t>
  </si>
  <si>
    <t>Adapted from DOE RMP</t>
  </si>
  <si>
    <t>cybersecurity responsibilities</t>
  </si>
  <si>
    <t>Obligations for ensuring the organisation's cybersecurity requirements are met.</t>
  </si>
  <si>
    <t>cybersecurity risk</t>
  </si>
  <si>
    <t>The risk to organisational operations (including mission, functions, image, reputation), resources, and other organisations due to the potential for unauthorised access, use, disclosure, disruption, modification, or destruction of information and/or IT and ICS. See risk.</t>
  </si>
  <si>
    <t>cybersecurity workforce management objectives</t>
  </si>
  <si>
    <t>Performance targets for personnel with cybersecurity responsibilities that the organisation sets to meet cybersecurity requirements.</t>
  </si>
  <si>
    <t>defined practice</t>
  </si>
  <si>
    <t>A practice that is planned (i.e., described, explained, made definite and clear, and standardised) and is executed in accordance with the plan.</t>
  </si>
  <si>
    <t>dependency risk</t>
  </si>
  <si>
    <t>Dependency risk is measured by the likelihood and severity of damage if an IT or OT system is compromised due to a supplier or other external party on which delivery of the function depends. Evaluating dependency risk includes an assessment of the importance of the potentially compromised system and the impact of compromise on organisational operations and assets, individuals, other organisations, and the Nation. See upstream dependencies and supply chain risk.</t>
  </si>
  <si>
    <t>Adapted from NIST 7622, pg. 10</t>
  </si>
  <si>
    <t>deprovisioning</t>
  </si>
  <si>
    <t>The process of revoking or removing an identity's access to organisational assets. See also provisioning.</t>
  </si>
  <si>
    <t>distribution</t>
  </si>
  <si>
    <t>The delivery of energy to retail customers (e.g., homes, businesses, industry, government facilities).</t>
  </si>
  <si>
    <t>Adapted from EIA Glossary</t>
  </si>
  <si>
    <t>Owner and operator of substations and the wires that transport from distribution centres to end-use consumers. Also provider of technical services, including construction of power lines, inspection of equipment, maintenance and street lighting.</t>
  </si>
  <si>
    <t>domain</t>
  </si>
  <si>
    <t>In the context of the model structure, a domain is a logical grouping of cybersecurity practices.</t>
  </si>
  <si>
    <t>domain objectives</t>
  </si>
  <si>
    <t>The practices within each domain are organised into objectives. The objectives represent achievements that support the domain (such as 'Manage Asset Configuration' for the ACM domain and 'Increase Cybersecurity Awareness' for the WM domain). Each of the objectives in a domain comprises a set of practices, which are ordered by maturity indicator level.</t>
  </si>
  <si>
    <t>downstream dependencies</t>
  </si>
  <si>
    <t>External parties dependent on the delivery of the function, such as customers and some operating partners.</t>
  </si>
  <si>
    <t>electrical substation</t>
  </si>
  <si>
    <t>Electrical substations act as connection points between the electricity networks and electricity generators, large load customers, and the lower voltage distribution network it serves (including switch yards).</t>
  </si>
  <si>
    <t>electricity sector information sharing and analysis center (ES-ISAC)</t>
  </si>
  <si>
    <t>The Electricity Sector Information Sharing and Analysis Center (ES-ISAC) shares critical information with industry participants about infrastructure protection. The ES-ISAC serves the electricity sector by facilitating communications between electricity sector participants, federal governments, and other critical infrastructures. It is the job of the ES-ISAC to promptly disseminate threat indications, vulnerabilities, analyses, and warnings, together with interpretations, to help electricity sector participants take protective actions. See Information Sharing and Analysis Center (ISAC).</t>
  </si>
  <si>
    <t>Adapted from Electricity Sector Information Sharing and Analysis Center (ES-ISAC) website home page</t>
  </si>
  <si>
    <t>electricity subsector</t>
  </si>
  <si>
    <t>A portion of the energy sector that includes the generation, transmission, and distribution of electricity.</t>
  </si>
  <si>
    <t>ES-SPP</t>
  </si>
  <si>
    <t>enterprise</t>
  </si>
  <si>
    <t>The largest (i.e., highest-level) organisational entity to which the organisation participating in the AESCSF survey belongs. For some participants, the organisation taking the survey is the enterprise itself. See organisation.</t>
  </si>
  <si>
    <t>enterprise architecture</t>
  </si>
  <si>
    <t>The design and description of an enterprise's entire set of IT and OT: how they are configured, how they are integrated, how they interface to the external environment at the enterprise's boundary, how they are operated to support the enterprise mission, and how they contribute to the enterprise's overall security posture. See cybersecurity architecture and network architecture.</t>
  </si>
  <si>
    <t>DOE RMP (but changed ICS to OT)</t>
  </si>
  <si>
    <t>entity</t>
  </si>
  <si>
    <t>Something having separate or distinct existence.</t>
  </si>
  <si>
    <t>establish and maintain</t>
  </si>
  <si>
    <t>The development and maintenance of the object of the practice (such as a program). For example, 'Establish and maintain identities' means that not only must identities be provisioned, but they also must be documented, have assigned ownership, and be maintained relative to corrective actions, changes in requirements, or improvements.</t>
  </si>
  <si>
    <t>event</t>
  </si>
  <si>
    <t>Any observable occurrence in a system or network. Depending on their potential impact, some events need to be escalated for response. To ensure consistency, criteria for response should align with the organisation's risk criteria.</t>
  </si>
  <si>
    <t>NIST 800-61</t>
  </si>
  <si>
    <t>function</t>
  </si>
  <si>
    <t>The high-level electricity system activity or set of activities performed by the utility to which the model is being applied. Generally, the function will be generation, transmission, distribution, and/or markets. When using the AESCSF evaluation survey, the function is the organisational line-of-business (generation, transmission, distribution, or markets) that is being evaluated by completing the model.</t>
  </si>
  <si>
    <t>generation</t>
  </si>
  <si>
    <t>The process of producing electric energy by transforming other forms of energy; also, the amount of electric energy produced, expressed in kilowatt- hours.</t>
  </si>
  <si>
    <t>EIA Glossary</t>
  </si>
  <si>
    <t>generation capacity</t>
  </si>
  <si>
    <t>Measured in Megawatts (MW)</t>
  </si>
  <si>
    <t>governance</t>
  </si>
  <si>
    <t>An organisational process of providing strategic direction for the organisation while ensuring that it meets its obligations, appropriately manages risk, and efficiently uses financial and human resources. Governance also typically includes the concepts of sponsorship (setting the managerial tone), compliance (ensuring that the organisation is meeting its compliance obligations), and alignment (ensuring that processes such as those for cybersecurity program management align with strategic objectives).</t>
  </si>
  <si>
    <t>guidelines</t>
  </si>
  <si>
    <t>A set of recommended practices produced by a recognised authoritative source representing subject matter experts and community consensus, or internally by an organisation. See standard.</t>
  </si>
  <si>
    <t>Human Machine Interface (HMI)</t>
  </si>
  <si>
    <t>A Human Machine Interface consists of hardware and software that allow operators to monitor and control a process control system. A HMI enables people to support and interact with complex technological systems.</t>
  </si>
  <si>
    <t>identity</t>
  </si>
  <si>
    <t>The set of attribute values (i.e., characteristics) by which an entity is recognisable and that, within the scope of an identity manager's responsibility, is sufficient to distinguish that entity from any other entity.</t>
  </si>
  <si>
    <t>impact</t>
  </si>
  <si>
    <t>Negative consequence to subsector functions.</t>
  </si>
  <si>
    <t>incident</t>
  </si>
  <si>
    <t>An event (or series of events) that significantly affects (or has the potential to significantly affect) critical infrastructure and/or organisational assets and services and requires the organisation (and possibly other stakeholders) to respond in some way to prevent or limit adverse impacts. See also computer security incident and event.</t>
  </si>
  <si>
    <t>incident life cycle</t>
  </si>
  <si>
    <t>The stages of an incident from detection to closure. Collectively, the incident life cycle includes the processes of detecting, reporting, logging, triaging, declaring, tracking, documenting, handling, coordinating, escalating and notifying, gathering and preserving evidence, and closing incidents. Escalated events also follow the incident life cycle, even if they are never formally declared to be incidents.</t>
  </si>
  <si>
    <t>information assets</t>
  </si>
  <si>
    <t>Information or data that is of value to the organisation, including diverse information such as operational data, intellectual property, customer information, and contracts.</t>
  </si>
  <si>
    <t>information sharing and analysis center (ISAC)</t>
  </si>
  <si>
    <t>An Information Sharing and Analysis Center (ISAC) shares critical information with industry participants on infrastructure protection. Each critical infrastructure industry has established an ISAC to communicate with its members, its government partners, and other ISACs about threat indications, vulnerabilities, and protective strategies. ISACs work together to better understand cross-industry dependencies and to account for them in emergency response planning. See Electricity Sector Information Sharing and Analysis Center (ES-ISAC).</t>
  </si>
  <si>
    <t>information technology (IT)</t>
  </si>
  <si>
    <t>A discrete set of electronic information resources organised for the collection, processing, maintenance, use, sharing, dissemination, or disposition of information. In the context of this publication, the definition includes interconnected or dependent business systems and the environment in which they operate.</t>
  </si>
  <si>
    <t>institutionalisation</t>
  </si>
  <si>
    <t>The extent to which a practice or activity is ingrained into the way an organisation operates. The more an activity becomes part of how an organisation operates, the more likely it is that the activity will continue to be performed over time, with a consistently high level of quality. ('Incorporated into the ingrained way of doing business that an organisation follows routinely as part of its corporate culture.' - CERT RMM). See also maturity indicator level.</t>
  </si>
  <si>
    <t>integrity</t>
  </si>
  <si>
    <t>Guarding against improper information modification or destruction. Integrity includes ensuring information nonrepudiation and authenticity. For an asset, integrity is the quality of being in the condition intended by the owner and therefore continuing to be useful for the purposes intended by the owner.</t>
  </si>
  <si>
    <t>interconnector</t>
  </si>
  <si>
    <t>An interconnector is infrastructure that connects the energy transmission systems of two regions, allowing energy (such as electricity or gas) to flow between them.</t>
  </si>
  <si>
    <t>isolated</t>
  </si>
  <si>
    <t>Physically or logically independent from another.</t>
  </si>
  <si>
    <t>least privilege</t>
  </si>
  <si>
    <t>A security control that addresses the potential for abuse of authorised privileges. The organisation employs the concept of least privilege by allowing only authorised access for users (and processes acting on behalf of users) who require it to accomplish assigned tasks in accordance with organisational missions and business functions. organisations employ the concept of least privilege for specific duties and systems (including specific functions, ports, protocols, and services). The concept of least privilege is also applied to information system processes, ensuring that the processes operate at privilege levels no higher than necessary to accomplish required organisational missions and/or functions. organisations consider the creation of additional processes, roles, and information system accounts as necessary to achieving least privilege. organisations also apply least privilege concepts to the design, development, implementation, and operations of IT and OT systems.</t>
  </si>
  <si>
    <t>Adapted from NIST 800-53</t>
  </si>
  <si>
    <t>load</t>
  </si>
  <si>
    <t>The quantum of electricity delivered to, or demanded from, any one or more customers (including commercial and critical customers).</t>
  </si>
  <si>
    <t>logging</t>
  </si>
  <si>
    <t>Logging typically refers to automated recordkeeping (by elements of an IT or OT system) of system, network, or user activity. Logging may also refer to keeping a manual record (e.g., a sign-in sheet) of physical access by personnel to a protected asset or restricted area, although automated logging of physical access activity is commonplace. Regular review and audit of logs (manually or by automated tools) is a critical monitoring activity that is essential for situational awareness (e.g., through the detection of cybersecurity events or weaknesses).</t>
  </si>
  <si>
    <t>logical control</t>
  </si>
  <si>
    <t>A software, firmware, or hardware feature (i.e., computational logic, not a physical obstacle) within an IT or OT system that restricts access to and modification of assets only to authorised entities. For contrast, see physical control.</t>
  </si>
  <si>
    <t>Adapted from CNSSI 4009 definition of 'internal security controls'</t>
  </si>
  <si>
    <t>markets</t>
  </si>
  <si>
    <t>Venues where participants buy and sell products and services. In the context of this model, markets refers to trading involving wholesale electricity.</t>
  </si>
  <si>
    <t>FERC</t>
  </si>
  <si>
    <t>maturity</t>
  </si>
  <si>
    <t>The extent to which an organisation has implemented and institutionalised the cybersecurity practices of the model.</t>
  </si>
  <si>
    <t>maturity indicator level (MIL)</t>
  </si>
  <si>
    <t>A measure of the cybersecurity maturity of an organisation in a given domain of the model. The model currently defines four maturity indicator levels (MILs) and holds a fifth level in reserve for use in future versions of the model. Each of the four defined levels is designated by a number (0 through 3) and a name, for example, 'MIL3: managed.' A MIL is a measure of the progression within a domain from individual and team initiative, as a basis for carrying out cybersecurity practices, to organisational policies and procedures that institutionalise those practices, making them repeatable with a consistently high level of quality. As an organisation progresses from one MIL to the next, the organisation will have more complete or more advanced implementations of the core activities in the domain.</t>
  </si>
  <si>
    <t>monitoring</t>
  </si>
  <si>
    <t>Collecting, recording, and distributing information about the behaviour and activities of systems and persons to support the continuous process of identifying and analysing risks to organisational assets and critical infrastructure that could adversely affect the operation and delivery of services.</t>
  </si>
  <si>
    <t>Adapted from CERT RMM (monitoring and risk management)</t>
  </si>
  <si>
    <t>monitoring requirements</t>
  </si>
  <si>
    <t>The requirements established to determine the information gathering and distribution needs of stakeholders.</t>
  </si>
  <si>
    <t>multifactor authentication</t>
  </si>
  <si>
    <t>Authentication using two or more factors to achieve authentication. Factors include (i) something you know (e.g., password/PIN), (ii) something you have (e.g., cryptographic identification device, token), (iii) something you are (e.g., biometric), or (iv) you are where you say you are (e.g., GPS token). See authentication.</t>
  </si>
  <si>
    <t>National Electricity Market (NEM)</t>
  </si>
  <si>
    <t>Comprised of five physically connected regions on the east coast of Australia: Queensland, NSW (including ACT), Victoria, Tasmania and South Australia.</t>
  </si>
  <si>
    <t>network architecture</t>
  </si>
  <si>
    <t>A framework that describes the structure and behaviour of communications among IT and/or OT assets and prescribes rules for interaction and interconnection. See enterprise architecture and cybersecurity architecture.</t>
  </si>
  <si>
    <t>Adapted from CNSSI 4009 (IA architecture)</t>
  </si>
  <si>
    <t>Network Services Providers (NSP)</t>
  </si>
  <si>
    <t>Operates electricity networks. An NSP can refer to both a TNSP or DNSP.</t>
  </si>
  <si>
    <t>operating picture</t>
  </si>
  <si>
    <t>Real-time (or near-real-time) awareness of the operating state of a system or function. An operating picture is formed from data collected from various trusted information sources that may be internal or external to the system or function (e.g. temperature, weather events and warnings, cybersecurity alerts). The operating picture may or may not be presented graphically. It involves the collection, analysis (including fusion), and distribution of what is important to know to make decisions about the operation of the system. A common operating picture (COP) is a single operating picture that is available to the stakeholders of the system or function so that all stakeholders can make decisions based on the same reported operating state. See common operating picture.</t>
  </si>
  <si>
    <t>operating states</t>
  </si>
  <si>
    <t>See pre-defined states of operation.</t>
  </si>
  <si>
    <t>operational resilience</t>
  </si>
  <si>
    <t>The organisation's ability to adapt to risk that affects its core operational capacities. Operational resilience is an emergent property of effective operational risk management, supported and enabled by activities such as security and business continuity. A subset of enterprise resilience, operational resilience focuses on the organisation's ability to manage operational risk, whereas enterprise resilience encompasses additional areas of risk such as business risk and credit risk. See the related term operational risk.</t>
  </si>
  <si>
    <t>operational risk</t>
  </si>
  <si>
    <t>The potential impact on assets and their related services that could result from inadequate or failed internal processes, failures of systems or technology, the deliberate or inadvertent actions of people, or external events. In the context of this model, our focus is on operational risk from cybersecurity threats.</t>
  </si>
  <si>
    <t>operational technology</t>
  </si>
  <si>
    <t>See operations technology.</t>
  </si>
  <si>
    <t>operations technology (OT)</t>
  </si>
  <si>
    <t>Programmable systems or devices that interact with the physical environment (or manage devices that interact with the physical environment). Examples include industrial control systems, building management systems, fire control systems, and physical access control mechanisms.</t>
  </si>
  <si>
    <t>organisation</t>
  </si>
  <si>
    <t>An organisation of any size, complexity, or positioning within an organisational structure that is charged with carrying out assigned mission and business processes and that uses IT and OT in support of those processes. In the context of the model, the organisation is the entity using the model or that is under examination.</t>
  </si>
  <si>
    <t>periodic review/activity</t>
  </si>
  <si>
    <t>A review or activity that occurs at specified, regular time intervals, where the organisation-defined frequency is commensurate with risks to organisational objectives and critical infrastructure.</t>
  </si>
  <si>
    <t>Adapted from SEI CMM Glossary</t>
  </si>
  <si>
    <t>personal information</t>
  </si>
  <si>
    <t>Information that reveals details, either explicitly or implicitly, about a specific individual's household dwelling or other type of premises. This is expanded beyond the normal 'individual' component because there are serious privacy impacts for all individuals living in one dwelling or premise. This can include items such as energy use patterns or other types of activities. The pattern can become unique to a household or premises just as a fingerprint or DNA is unique to an individual.</t>
  </si>
  <si>
    <t>NISTIR 7628 Vol. 3, Glossary</t>
  </si>
  <si>
    <t>personnel</t>
  </si>
  <si>
    <t>Employees of the organisation. This includes full time, part time, and contracted employees.</t>
  </si>
  <si>
    <t>physical control</t>
  </si>
  <si>
    <t>A type of control that prevents physical access to, and modification of, information assets or physical access to technology and facilities. Physical controls often include such artifacts as card readers and physical barrier methods.</t>
  </si>
  <si>
    <t>policy</t>
  </si>
  <si>
    <t>A high-level overall plan embracing the general goals and acceptable procedures of an organisation.</t>
  </si>
  <si>
    <t>position description</t>
  </si>
  <si>
    <t>A set of responsibilities that describe a role or roles filled by an employee. Also known as a job description.</t>
  </si>
  <si>
    <t>practice</t>
  </si>
  <si>
    <t>An activity described in the model that can be performed by an organisation to support a domain objective. The purpose of these activities is to achieve and sustain an appropriate level of cybersecurity for the function, commensurate with the risk to critical infrastructure and organisational objectives.</t>
  </si>
  <si>
    <t>pre-defined states of operation</t>
  </si>
  <si>
    <t>Distinct operating modes (which typically include specific IT and OT configurations as well as alternate or modified procedures) that have been designed and implemented for the function and can be invoked by a manual or automated process in response to an event, a changing risk environment, or other sensory and awareness data to provide greater safety, resiliency, reliability, and/or cybersecurity. For example, a shift from the normal state of operation to a high-security operating mode may be invoked in response to a declared cybersecurity incident of sufficient severity. The high-security operating state may trade off efficiency and ease of use in favour of increased security by blocking remote access and requiring a higher level of authentication and authorisation for certain commands until a return to the normal state of operation is deemed safe.</t>
  </si>
  <si>
    <t>procedure</t>
  </si>
  <si>
    <t>In this model, procedure is synonymous with process.</t>
  </si>
  <si>
    <t>process</t>
  </si>
  <si>
    <t>A series of discrete activities or tasks that contribute to the fulfilment of a task or mission.</t>
  </si>
  <si>
    <t>CERT RMM (Business Process)</t>
  </si>
  <si>
    <t>provisioning</t>
  </si>
  <si>
    <t>The process of assigning or activating an identity profile and its associated roles and access privileges. See also deprovisioning.</t>
  </si>
  <si>
    <t>Recovery Time Objectives (RTO)</t>
  </si>
  <si>
    <t>Documented goals and performance targets the organisation sets for recovery of an interrupted function in order to meet critical infrastructure and organisational objectives.</t>
  </si>
  <si>
    <t>region</t>
  </si>
  <si>
    <t>An AEMO defined term, there are five Regions in the NEM. The NEM regions are: QLD, NSW, VIC, SA, and TAS.</t>
  </si>
  <si>
    <t>retailers</t>
  </si>
  <si>
    <t>Electricity retailers buy electricity at spot price and on-sell it to end-use customers.</t>
  </si>
  <si>
    <t>risk</t>
  </si>
  <si>
    <t>A measure of the extent to which an organisation is threatened by a potential circumstance or event, and typically a function of (1) the adverse impacts that would arise if the circumstance or event occurs and (2) the likelihood of occurrence.</t>
  </si>
  <si>
    <t>risk analysis</t>
  </si>
  <si>
    <t>A risk management activity focused on understanding the condition and potential consequences of risk, prioritising risks, and determining a path for addressing risks. Determines the importance of each identified risk and is used to facilitate the organisation's response to the risk.</t>
  </si>
  <si>
    <t>risk assessment</t>
  </si>
  <si>
    <t>The process of identifying risks to organisational operations (including mission, functions, image, reputation), resources, other organisations, and the Nation, resulting from the operation of an IT and ICS.</t>
  </si>
  <si>
    <t>risk criteria</t>
  </si>
  <si>
    <t>Objective criteria that the organisation uses for evaluating, categorising, and prioritising operational risks based on impact, tolerance for risk, and risk response approaches.</t>
  </si>
  <si>
    <t>risk designation, as in 'position risk designation'</t>
  </si>
  <si>
    <t>An indication, such as high, medium, or low, of the position's potential for adverse impact to the efficiency, integrity, or availability of the organisation's services.</t>
  </si>
  <si>
    <t>Adapted from OPM</t>
  </si>
  <si>
    <t>risk disposition</t>
  </si>
  <si>
    <t>A statement of the organisation's intention for addressing an operational risk. Typically limited to 'accept,' 'transfer,' 'research,' or 'mitigate.'</t>
  </si>
  <si>
    <t>risk management program</t>
  </si>
  <si>
    <t>The program and supporting processes to manage cybersecurity risk to organisational operations (including mission, functions, image, reputation), resources, other organisations, and the Nation. It includes (1) establishing the context for risk-related activities, (2) assessing risk, (3) responding to risk once determined, and (4) monitoring risk over time.</t>
  </si>
  <si>
    <t>risk management strategy</t>
  </si>
  <si>
    <t>Strategic-level decisions on how senior executives manage risk to an organisation's operations, resources, and other organisations.</t>
  </si>
  <si>
    <t>risk mitigation</t>
  </si>
  <si>
    <t>prioritising, evaluating, and implementing appropriate risk-reducing controls.</t>
  </si>
  <si>
    <t>risk mitigation plan</t>
  </si>
  <si>
    <t>A strategy for mitigating risk that seeks to minimise the risk to an acceptable level.</t>
  </si>
  <si>
    <t>risk parameter/risk parameter factors</t>
  </si>
  <si>
    <t>organisation-specific risk tolerances used for consistent measurement of risk across the organisation. Risk parameters include risk tolerances and risk measurement criteria.</t>
  </si>
  <si>
    <t>risk register</t>
  </si>
  <si>
    <t>A structured repository where identified risks are recorded to support risk management.</t>
  </si>
  <si>
    <t>risk response</t>
  </si>
  <si>
    <t>Accepting, avoiding, mitigating, sharing, or transferring risk to organisational operations, resources, and other organisations.</t>
  </si>
  <si>
    <t>risk taxonomy</t>
  </si>
  <si>
    <t>The collection and cataloguing of common risks that the organisation is subject to and must manage. The risk taxonomy is a means for communicating these risks and for developing mitigation actions specific to an organisational unit or line-of-business if operational assets and services are affected by them.</t>
  </si>
  <si>
    <t>role</t>
  </si>
  <si>
    <t>A group attribute that ties membership to function. When an entity assumes a role, the entity is given certain rights that belong to that role. When the entity leaves the role, those rights are removed. The rights given are consistent with the functionality that the entity needs to perform the expected tasks.</t>
  </si>
  <si>
    <t>SCADA</t>
  </si>
  <si>
    <t>Supervisory Control and Data Acquisition is an industrial computer system for process control and gathering of data in real time from remote locations in order to control equipment and conditions.</t>
  </si>
  <si>
    <t>secure software development</t>
  </si>
  <si>
    <t>Developing software using recognised processes, secure coding standards, best practices, and tools that have been demonstrated to minimise security vulnerabilities in software systems throughout the software development life cycle. An essential aspect is to engage programmers and software architects who have been trained in secure software development.</t>
  </si>
  <si>
    <t>separation of duties</t>
  </si>
  <si>
    <t>[A security control that] 'addresses the potential for abuse of authorised privileges and helps to reduce the risk of malevolent activity without collusion. Separation of duties includes, for example: (i) dividing mission functions and information system support functions among different individuals and/or roles;_x000D_
 (ii) conducting information system support functions with different individuals (e.g., system management, programming, configuration management, quality assurance and testing, and network security); and (iii) ensuring security personnel administering access control functions do not also administer audit functions. Organisations with significant personnel limitations may compensate for the separation of duty security control by strengthening the audit, accountability, and personnel security controls.'</t>
  </si>
  <si>
    <t>NIST 800-53, pp. 31, F-13</t>
  </si>
  <si>
    <t>service level agreement (SLA)</t>
  </si>
  <si>
    <t>Defines the specific responsibilities of the service provider, including the satisfaction of any relevant cybersecurity requirements, and sets the customer's expectations regarding the quality of service to be provided.</t>
  </si>
  <si>
    <t>single point of failure (SPOF)</t>
  </si>
  <si>
    <t>An environment/system where one failure can result in the failure of the entire system. For high availability systems, a design goal is to reduce the number of single points of failure.</t>
  </si>
  <si>
    <t>situational awareness</t>
  </si>
  <si>
    <t>A sufficiently accurate and up-to-date understanding of the past, current, and projected future state of a system (including its cybersecurity safeguards), in the context of the threat environment and risks to the system's mission, to support effective decision making with respect to activities that depend on and/or affect how well a system functions. It involves the collection of data (e.g., via sensor networks), data fusion, and data analysis (which may include modelling and simulation) to support automated and/or human decision making (for example, concerning power system functions). Situational awareness also involves the presentation of the results of the data analysis in a form (e.g., using data visualisation techniques, appropriate use of alarms) that aids human comprehension and allows operators or other personnel to quickly grasp the key elements needed for good decision making.</t>
  </si>
  <si>
    <t>Adapted from SGMM Glossary</t>
  </si>
  <si>
    <t>sponsorship</t>
  </si>
  <si>
    <t>Enterprise-wide support of cybersecurity objectives by senior management as demonstrated by formal policy or by declarations of management's commitment to the cybersecurity program along with provision of resources. Senior management monitors the performance and execution of the cybersecurity program and is actively involved in the ongoing improvement of all aspects of the cybersecurity program.</t>
  </si>
  <si>
    <t>stakeholder</t>
  </si>
  <si>
    <t>An external organisation or an internal or external person or group that has a vested interest in the organisation or function (that is being evaluated using this model) and its practices. Stakeholders involved in performing a given practice (or who oversee, benefit from, or are dependent upon the quality with which the practice is performed) could include those from within the function, from across the organisation, or from outside the organisation.</t>
  </si>
  <si>
    <t>standard</t>
  </si>
  <si>
    <t>A standard is a document, established by consensus, that provides rules, guidelines, or characteristics for activities or their results. See guidelines.</t>
  </si>
  <si>
    <t>Adapted from ISO/IEC Guide 2:2004</t>
  </si>
  <si>
    <t>states of operation</t>
  </si>
  <si>
    <t>strategic objectives</t>
  </si>
  <si>
    <t>The performance targets that the organisation sets to accomplish its mission, vision, values, and purpose.</t>
  </si>
  <si>
    <t>strategic planning</t>
  </si>
  <si>
    <t>The process of developing strategic objectives and plans for meeting these objectives.</t>
  </si>
  <si>
    <t>supply chain</t>
  </si>
  <si>
    <t>The set of organisations, people, activities, information, and resources for creating and moving a product or service (including its sub-elements) from suppliers through to an organisation's customers. The supply chain encompasses the full product life cycle and includes design, development, and acquisition of custom or commercial off-the-shelf (COTS) products, system integration, system operation (in its environment), and disposal. People, processes, services, products, and the elements that make up the products wholly impact the supply chain.</t>
  </si>
  <si>
    <t>NISTIR 7622 Source of 1st paragraph cited as [NDIA ESA]</t>
  </si>
  <si>
    <t>supply chain risk</t>
  </si>
  <si>
    <t>Supply chain risk is measured by the likelihood and severity of damage if an IT or OT system is compromised by a supply chain attack, and takes into account the importance of the system and the impact of compromise on organisational operations and assets, individuals, other organisations, and the Nation. Supply chain attacks may involve manipulating computing system hardware, software, or services at any point during the life cycle. Supply chain attacks are typically conducted or facilitated by individuals or organisations that have access through commercial ties, leading to stolen critical data and technology, corruption of the system/ infrastructure, and/or disabling of mission-critical operations. See risks and supply chain.</t>
  </si>
  <si>
    <t>Adapted from NIST 7622, pg. 7 &amp; pg. 10</t>
  </si>
  <si>
    <t>telecommunications</t>
  </si>
  <si>
    <t>Internal private telecommunication hardware. Telecommunications networks that earn additional revenue may be classified as Regulated Telecommunications</t>
  </si>
  <si>
    <t>threat</t>
  </si>
  <si>
    <t>Any circumstance or event with the potential to adversely impact organisational operations (including mission, functions, image, or reputation), resources, and other organisations through IT, OT, or communications infrastructure via unauthorised access, destruction, disclosure, modification of information, and/or denial of service.</t>
  </si>
  <si>
    <t>threat assessment</t>
  </si>
  <si>
    <t>The process of evaluating the severity of threat to an IT and ICS or organisation and describing the nature of the threat.</t>
  </si>
  <si>
    <t>threat profile</t>
  </si>
  <si>
    <t>A characterisation of the likely intent, capability, and targets for threats to the function. It is the result of one or more threat assessments across the range of feasible threats to the IT and OT of an organisation and to the organisation itself, delineating the feasible threats, describing the nature of the threats, and evaluating their severity.</t>
  </si>
  <si>
    <t>threat source</t>
  </si>
  <si>
    <t>An intent and method targeted at the intentional exploitation of a vulnerability or a situation, or a method that may accidentally exploit a vulnerability.</t>
  </si>
  <si>
    <t>traceability</t>
  </si>
  <si>
    <t>The ability to determine whether or not a given attribute of the current state is valid (e.g., the current configuration of a system or the purported identity of a user) based on the evidence maintained in a historical record showing how the attribute was originally established and how it has changed over time.</t>
  </si>
  <si>
    <t>transmission</t>
  </si>
  <si>
    <t>The movement or transfer of electric energy over an interconnected group of lines and associated equipment between points of supply and points at which it is transformed for delivery to consumers or is delivered to other electric systems. Transmission is considered to end when the energy is transformed for distribution to the consumer.</t>
  </si>
  <si>
    <t>Owner and operator of the high-voltage transmission towers, electrical substations, and wires that transport electricity.</t>
  </si>
  <si>
    <t>upstream dependencies</t>
  </si>
  <si>
    <t>External parties on which the delivery of the function depends, including suppliers and some operating partners.</t>
  </si>
  <si>
    <t>validate</t>
  </si>
  <si>
    <t>Collect and evaluate evidence to confirm or establish the quality of something (e.g., information, a model, a product, a system, or component) with respect to its fitness for a particular purpose.</t>
  </si>
  <si>
    <t>vulnerability</t>
  </si>
  <si>
    <t>A cybersecurity vulnerability is a weakness or flaw in IT, OT, or communications systems or devices, system procedures, internal controls, or implementation that could be exploited by a threat source. A vulnerability class is a grouping of common vulnerabilities.</t>
  </si>
  <si>
    <t>Adapted from NISTIR 7628 Vol. 1, pp. 8</t>
  </si>
  <si>
    <t>vulnerability assessment</t>
  </si>
  <si>
    <t>Systematic examination of an IT or product to determine the adequacy of cybersecurity measures, identify security deficiencies, provide data from which to predict the effectiveness of proposed cybersecurity measures, and confirm the adequacy of such measures after implementation.</t>
  </si>
  <si>
    <t>Wholesale Electricity Market (WEM)</t>
  </si>
  <si>
    <t>The Wholesale Electricity Market in Western Australia facilitates competition and private investment, and allows generators and wholesale purchasers of electricity greater flexibility as to how they sell or procure electricity, and who they transact with.</t>
  </si>
  <si>
    <t>wide area network (WAN)</t>
  </si>
  <si>
    <t>The hardware and software configuration of devices that enable data communications across sites. WAN technologies can include both Internet Protocol (IP) and Time Division Multiplex (TDM)/Serial Network technologies.</t>
  </si>
  <si>
    <t>workforce life cycle</t>
  </si>
  <si>
    <t>For the purpose of this model, the workforce life cycle comprises the distinct phases of workforce management that apply to personnel both internal and external to the organisation. Specific cybersecurity implications and requirements are associated with each life cycle phase. The workforce life cycle includes recruiting, hiring, onboarding, skill assessments, training and certification, assignment to roles (deployment), professional growth and development, re-assignment and transfers, promotions and demotions, succession planning, and termination or retirement. The phases may not be in strict sequences, and some phases (like training, re-assignment, and promotions) may recur.</t>
  </si>
  <si>
    <t>workforce management objectives</t>
  </si>
  <si>
    <t>See cybersecurity workforce management objectives.</t>
  </si>
  <si>
    <t>Practice ID</t>
  </si>
  <si>
    <t>Objective ID</t>
  </si>
  <si>
    <t>Domain</t>
  </si>
  <si>
    <t>Maturity Indicator Level</t>
  </si>
  <si>
    <t>Security Profile</t>
  </si>
  <si>
    <t>Complete</t>
  </si>
  <si>
    <t>MIL 1 Complete</t>
  </si>
  <si>
    <t>MIL 1 AP Not Present</t>
  </si>
  <si>
    <t>MIL 2 Complete</t>
  </si>
  <si>
    <t>MIL 2 AP Not Present</t>
  </si>
  <si>
    <t>MIL 3 Complete</t>
  </si>
  <si>
    <t>MIL 3 AP Not Present</t>
  </si>
  <si>
    <t>MIL 1 Not Complete</t>
  </si>
  <si>
    <t>MIL 1 AP Present</t>
  </si>
  <si>
    <t>MIL 2 Not Complete</t>
  </si>
  <si>
    <t>MIL 2 AP Present</t>
  </si>
  <si>
    <t>MIL 3 Not Complete</t>
  </si>
  <si>
    <t>MIL 3 AP Present</t>
  </si>
  <si>
    <t>Subsector</t>
  </si>
  <si>
    <t>ID</t>
  </si>
  <si>
    <t>Response ID</t>
  </si>
  <si>
    <t>Answer ID</t>
  </si>
  <si>
    <t>Question Weight</t>
  </si>
  <si>
    <t>Subsector Weight</t>
  </si>
  <si>
    <t>Score</t>
  </si>
  <si>
    <t>Weighted Score</t>
  </si>
  <si>
    <t>Total Weighted Score</t>
  </si>
  <si>
    <t>GEN</t>
  </si>
  <si>
    <t>R.GEN.0</t>
  </si>
  <si>
    <t>A.GEN.0</t>
  </si>
  <si>
    <t>R.GEN.1</t>
  </si>
  <si>
    <t>A.GEN.1</t>
  </si>
  <si>
    <t>TNSP</t>
  </si>
  <si>
    <t>R.GEN.2</t>
  </si>
  <si>
    <t>A.GEN.2</t>
  </si>
  <si>
    <t>IC</t>
  </si>
  <si>
    <t>R.GEN.3</t>
  </si>
  <si>
    <t>A.GEN.3</t>
  </si>
  <si>
    <t>DNSP</t>
  </si>
  <si>
    <t>R.GEN.4</t>
  </si>
  <si>
    <t>A.GEN.4</t>
  </si>
  <si>
    <t>RET</t>
  </si>
  <si>
    <t>R.GEN.5</t>
  </si>
  <si>
    <t>A.GEN.5</t>
  </si>
  <si>
    <t>OPS</t>
  </si>
  <si>
    <t>R.GEN.6</t>
  </si>
  <si>
    <t>A.GEN.6</t>
  </si>
  <si>
    <t>R.GEN.6.1</t>
  </si>
  <si>
    <t>A.GEN.6.1</t>
  </si>
  <si>
    <t>Overall_Criticality_Level</t>
  </si>
  <si>
    <t>R.GEN.7</t>
  </si>
  <si>
    <t>A.GEN.7</t>
  </si>
  <si>
    <t>R.GEN.8</t>
  </si>
  <si>
    <t>A.GEN.8</t>
  </si>
  <si>
    <t>R.GEN.9</t>
  </si>
  <si>
    <t>A.GEN.9</t>
  </si>
  <si>
    <t>Total</t>
  </si>
  <si>
    <t>R.TNSP.0</t>
  </si>
  <si>
    <t>A.TNSP.0</t>
  </si>
  <si>
    <t>R.TNSP.1</t>
  </si>
  <si>
    <t>A.TNSP.1</t>
  </si>
  <si>
    <t>Chart_Overall_Maturity_Summary</t>
  </si>
  <si>
    <t>Total_MIL1 Total_MIL2 Total_MIL3</t>
  </si>
  <si>
    <t>R.TNSP.2</t>
  </si>
  <si>
    <t>A.TNSP.2</t>
  </si>
  <si>
    <t>Complete %</t>
  </si>
  <si>
    <t>Count Complete</t>
  </si>
  <si>
    <t>Count Not Complete</t>
  </si>
  <si>
    <t>R.TNSP.3</t>
  </si>
  <si>
    <t>A.TNSP.3</t>
  </si>
  <si>
    <t>R.IC.0</t>
  </si>
  <si>
    <t>A.IC.0</t>
  </si>
  <si>
    <t>R.IC.1</t>
  </si>
  <si>
    <t>A.IC.1</t>
  </si>
  <si>
    <t>R.IC.2</t>
  </si>
  <si>
    <t>A.IC.2</t>
  </si>
  <si>
    <t>R.IC.3</t>
  </si>
  <si>
    <t>A.IC.3</t>
  </si>
  <si>
    <t>Overall_Maturity_Score</t>
  </si>
  <si>
    <t>R.DNSP.0</t>
  </si>
  <si>
    <t>A.DNSP.0</t>
  </si>
  <si>
    <t>R.DNSP.1</t>
  </si>
  <si>
    <t>A.DNSP.1</t>
  </si>
  <si>
    <t>R.DNSP.2</t>
  </si>
  <si>
    <t>A.DNSP.2</t>
  </si>
  <si>
    <t>Overall_Maturity_Achieved</t>
  </si>
  <si>
    <t>R.DNSP.3</t>
  </si>
  <si>
    <t>A.DNSP.3</t>
  </si>
  <si>
    <t>R.DNSP.4</t>
  </si>
  <si>
    <t>A.DNSP.4</t>
  </si>
  <si>
    <t>R.RET.0</t>
  </si>
  <si>
    <t>A.RET.0</t>
  </si>
  <si>
    <t>Security_Profile_Score</t>
  </si>
  <si>
    <t>R.RET.1</t>
  </si>
  <si>
    <t>A.RET.1</t>
  </si>
  <si>
    <t>R.RET.2</t>
  </si>
  <si>
    <t>A.RET.2</t>
  </si>
  <si>
    <t>R.RET.3</t>
  </si>
  <si>
    <t>A.RET.3</t>
  </si>
  <si>
    <t>Security_Profile_Achieved</t>
  </si>
  <si>
    <t>R.RET.4</t>
  </si>
  <si>
    <t>A.RET.4</t>
  </si>
  <si>
    <t>R.RET.5</t>
  </si>
  <si>
    <t>A.RET.5</t>
  </si>
  <si>
    <t>R.RET.6</t>
  </si>
  <si>
    <t>A.RET.6</t>
  </si>
  <si>
    <t>R.RET.7</t>
  </si>
  <si>
    <t>A.RET.7</t>
  </si>
  <si>
    <t>R.OPS.0</t>
  </si>
  <si>
    <t>A.OPS.0</t>
  </si>
  <si>
    <t>G_PROD</t>
  </si>
  <si>
    <t>R.G_PROD.0</t>
  </si>
  <si>
    <t>A.G_PROD.0</t>
  </si>
  <si>
    <t>R.G_PROD.1</t>
  </si>
  <si>
    <t>A.G_PROD.1</t>
  </si>
  <si>
    <t>G_TNSP</t>
  </si>
  <si>
    <t>R.G_PROD.2</t>
  </si>
  <si>
    <t>A.G_PROD.2</t>
  </si>
  <si>
    <t>G_STOR</t>
  </si>
  <si>
    <t>R.G_PROD.2.1</t>
  </si>
  <si>
    <t>A.G_PROD.2.1</t>
  </si>
  <si>
    <t>G_DNSP</t>
  </si>
  <si>
    <t>R.G_PROD.3</t>
  </si>
  <si>
    <t>A.G_PROD.3</t>
  </si>
  <si>
    <t>G_RET</t>
  </si>
  <si>
    <t>R.G_TNSP.0</t>
  </si>
  <si>
    <t>A.G_TNSP.0</t>
  </si>
  <si>
    <t>G_OPS</t>
  </si>
  <si>
    <t>R.G_TNSP.1</t>
  </si>
  <si>
    <t>A.G_TNSP.1</t>
  </si>
  <si>
    <t>R.G_TNSP.2</t>
  </si>
  <si>
    <t>A.G_TNSP.2</t>
  </si>
  <si>
    <t>Overall_G_CAT_Level</t>
  </si>
  <si>
    <t>R.G_TNSP.3</t>
  </si>
  <si>
    <t>A.G_TNSP.3</t>
  </si>
  <si>
    <t>R.G_TNSP.4</t>
  </si>
  <si>
    <t>A.G_TNSP.4</t>
  </si>
  <si>
    <t>R.G_TNSP.5</t>
  </si>
  <si>
    <t>A.G_TNSP.5</t>
  </si>
  <si>
    <t>R.G_TNSP.6</t>
  </si>
  <si>
    <t>A.G_TNSP.6</t>
  </si>
  <si>
    <t>R.G_TNSP.7</t>
  </si>
  <si>
    <t>A.G_TNSP.7</t>
  </si>
  <si>
    <t>R.G_TNSP.8</t>
  </si>
  <si>
    <t>A.G_TNSP.8</t>
  </si>
  <si>
    <t>R.G_STOR.0</t>
  </si>
  <si>
    <t>A.G_STOR.0</t>
  </si>
  <si>
    <t>R.G_STOR.1</t>
  </si>
  <si>
    <t>A.G_STOR.1</t>
  </si>
  <si>
    <t>R.G_STOR.2</t>
  </si>
  <si>
    <t>A.G_STOR.2</t>
  </si>
  <si>
    <t>R.G_STOR.3</t>
  </si>
  <si>
    <t>A.G_STOR.3</t>
  </si>
  <si>
    <t>R.G_DNSP.0</t>
  </si>
  <si>
    <t>A.G_DNSP.0</t>
  </si>
  <si>
    <t>R.G_DNSP.1</t>
  </si>
  <si>
    <t>A.G_DNSP.1</t>
  </si>
  <si>
    <t>R.G_DNSP.2</t>
  </si>
  <si>
    <t>A.G_DNSP.2</t>
  </si>
  <si>
    <t>R.G_DNSP.3</t>
  </si>
  <si>
    <t>A.G_DNSP.3</t>
  </si>
  <si>
    <t>R.G_DNSP.4</t>
  </si>
  <si>
    <t>A.G_DNSP.4</t>
  </si>
  <si>
    <t>R.G_DNSP.5</t>
  </si>
  <si>
    <t>A.G_DNSP.5</t>
  </si>
  <si>
    <t>R.G_RET.0</t>
  </si>
  <si>
    <t>A.G_RET.0</t>
  </si>
  <si>
    <t>R.G_RET.1</t>
  </si>
  <si>
    <t>A.G_RET.1</t>
  </si>
  <si>
    <t>R.G_RET.2</t>
  </si>
  <si>
    <t>A.G_RET.2</t>
  </si>
  <si>
    <t>R.G_RET.3</t>
  </si>
  <si>
    <t>A.G_RET.3</t>
  </si>
  <si>
    <t>R.G_OPS.0</t>
  </si>
  <si>
    <t>A.G_OPS.0</t>
  </si>
  <si>
    <t>R.G_OPS.1</t>
  </si>
  <si>
    <t>A.G_OPS.1</t>
  </si>
  <si>
    <t>L_EXTR</t>
  </si>
  <si>
    <t>R.L_EXTR.0</t>
  </si>
  <si>
    <t>A.L_EXTR.0</t>
  </si>
  <si>
    <t>R.L_EXTR.1</t>
  </si>
  <si>
    <t>A.L_EXTR.1</t>
  </si>
  <si>
    <t>L_TRAN</t>
  </si>
  <si>
    <t>R.L_TRAN.0</t>
  </si>
  <si>
    <t>A.L_TRAN.0</t>
  </si>
  <si>
    <t>L_STOR</t>
  </si>
  <si>
    <t>R.L_TRAN.1</t>
  </si>
  <si>
    <t>A.L_TRAN.1</t>
  </si>
  <si>
    <t>L_RFIN</t>
  </si>
  <si>
    <t>R.L_TRAN.2</t>
  </si>
  <si>
    <t>A.L_TRAN.2</t>
  </si>
  <si>
    <t>L_WHLS</t>
  </si>
  <si>
    <t>R.L_TRAN.3</t>
  </si>
  <si>
    <t>A.L_TRAN.3</t>
  </si>
  <si>
    <t>R.L_TRAN.4</t>
  </si>
  <si>
    <t>A.L_TRAN.4</t>
  </si>
  <si>
    <t>Overall_L_CAT_Level</t>
  </si>
  <si>
    <t>R.L_STOR.0</t>
  </si>
  <si>
    <t>A.L_STOR.0</t>
  </si>
  <si>
    <t>R.L_STOR.1</t>
  </si>
  <si>
    <t>A.L_STOR.1</t>
  </si>
  <si>
    <t>R.L_STOR.2</t>
  </si>
  <si>
    <t>A.L_STOR.2</t>
  </si>
  <si>
    <t>R.L_STOR.3</t>
  </si>
  <si>
    <t>A.L_STOR.3</t>
  </si>
  <si>
    <t>R.L_STOR.4</t>
  </si>
  <si>
    <t>A.L_STOR.4</t>
  </si>
  <si>
    <t>R.L_STOR.5</t>
  </si>
  <si>
    <t>A.L_STOR.5</t>
  </si>
  <si>
    <t>R.L_RFIN.0</t>
  </si>
  <si>
    <t>A.L_RFIN.0</t>
  </si>
  <si>
    <t>R.L_RFIN.1</t>
  </si>
  <si>
    <t>A.L_RFIN.1</t>
  </si>
  <si>
    <t>R.L_RFIN.2</t>
  </si>
  <si>
    <t>A.L_RFIN.2</t>
  </si>
  <si>
    <t>R.L_RFIN.3</t>
  </si>
  <si>
    <t>A.L_RFIN.3</t>
  </si>
  <si>
    <t>R.L_WHLS.0</t>
  </si>
  <si>
    <t>A.L_WHLS.0</t>
  </si>
  <si>
    <t>R.L_WHLS.1</t>
  </si>
  <si>
    <t>A.L_WHLS.1</t>
  </si>
  <si>
    <t>R.L_WHLS.2</t>
  </si>
  <si>
    <t>A.L_WHLS.2</t>
  </si>
  <si>
    <t>R.L_WHLS.3</t>
  </si>
  <si>
    <t>A.L_WHLS.3</t>
  </si>
  <si>
    <t>R.L_WHLS.3.1</t>
  </si>
  <si>
    <t>A.L_WHLS.3.1</t>
  </si>
  <si>
    <t>R.L_WHLS.3.2</t>
  </si>
  <si>
    <t>A.L_WHLS.3.2</t>
  </si>
  <si>
    <t>R.L_WHLS.3.3</t>
  </si>
  <si>
    <t>A.L_WHLS.3.3</t>
  </si>
  <si>
    <t>R.L_WHLS.3.4</t>
  </si>
  <si>
    <t>A.L_WHLS.3.4</t>
  </si>
  <si>
    <t>R.L_WHLS.5</t>
  </si>
  <si>
    <t>A.L_WHLS.5</t>
  </si>
  <si>
    <t>AntiPattern</t>
  </si>
  <si>
    <t>Response_MIL1</t>
  </si>
  <si>
    <t>R.L_PROD.0</t>
  </si>
  <si>
    <t>R.L_DNSP.0</t>
  </si>
  <si>
    <t>No</t>
  </si>
  <si>
    <t>Not Implemented</t>
  </si>
  <si>
    <t>Present - Competing Priorities</t>
  </si>
  <si>
    <t>Partially Implemented</t>
  </si>
  <si>
    <t>Present - Funding</t>
  </si>
  <si>
    <t>Largely Implemented</t>
  </si>
  <si>
    <t>Present - Headcount</t>
  </si>
  <si>
    <t>Response_MIL23</t>
  </si>
  <si>
    <t>R.L_PROD.1</t>
  </si>
  <si>
    <t>R.L_DNSP.1</t>
  </si>
  <si>
    <t>Present - Management Support</t>
  </si>
  <si>
    <t>Private DNSP - Primarily Industrial Customers</t>
  </si>
  <si>
    <t>Less than 5 PJ</t>
  </si>
  <si>
    <t>Less than 10,000 TJ</t>
  </si>
  <si>
    <t>Less than 100,000 Barrels </t>
  </si>
  <si>
    <t>Less than 5,000 ML </t>
  </si>
  <si>
    <t>Present - Other Dependencies</t>
  </si>
  <si>
    <t>Less than 500,000</t>
  </si>
  <si>
    <t>More than 5 PJ but less than 15 PJ</t>
  </si>
  <si>
    <t>More than 10,000 TJ but less than 20,000 TJ</t>
  </si>
  <si>
    <t>Between 100,000 and less than 250,000 Barrels </t>
  </si>
  <si>
    <t>Between 5,000 and less than 7,000 ML </t>
  </si>
  <si>
    <t>Between 500,001 and 1,000,000</t>
  </si>
  <si>
    <t>More than 15 PJ but less than 50 PJ</t>
  </si>
  <si>
    <t>More than 20,000 TJ but less than 30,000 TJ</t>
  </si>
  <si>
    <t>Between 250,000 and less than 750,000 Barrels </t>
  </si>
  <si>
    <t>More than 7,000 ML </t>
  </si>
  <si>
    <t>Present - Skills Shortage</t>
  </si>
  <si>
    <t>Between 1,000,001 and 2,000,000</t>
  </si>
  <si>
    <t>More than 50 PJ but less than 200 PJ</t>
  </si>
  <si>
    <t>More than 30,000 TJ but less than 40,000 TJ</t>
  </si>
  <si>
    <t>Between 750,000 and less than 2.5M Barrels </t>
  </si>
  <si>
    <t>Unsure </t>
  </si>
  <si>
    <t>Present - Technical Limitations</t>
  </si>
  <si>
    <t>More than 2,000,000</t>
  </si>
  <si>
    <t>More than 200 PJ</t>
  </si>
  <si>
    <t>More than 40,000 TJ</t>
  </si>
  <si>
    <t>More than 2.5M Barrels </t>
  </si>
  <si>
    <t>Unsure</t>
  </si>
  <si>
    <t>Less than 500 ML </t>
  </si>
  <si>
    <t>R.L_PROD.2</t>
  </si>
  <si>
    <t>R.L_DNSP.2</t>
  </si>
  <si>
    <t>Between 500 and less than 600 ML </t>
  </si>
  <si>
    <t>Less than 10,000 GWh</t>
  </si>
  <si>
    <t>Less than 200,000</t>
  </si>
  <si>
    <t>Between 600 and less than 750 ML </t>
  </si>
  <si>
    <t>Between 10,001 GWh and 15,000 GWh</t>
  </si>
  <si>
    <t>More than 200,000 but less than 500,000</t>
  </si>
  <si>
    <t>More than 750 ML </t>
  </si>
  <si>
    <t>Between 15,001 GWh and 25,000 GWh</t>
  </si>
  <si>
    <t>More than 500,000 but less than 700,000</t>
  </si>
  <si>
    <t>More than 25,000 GWh</t>
  </si>
  <si>
    <t>R.L_PROD.2.1</t>
  </si>
  <si>
    <t>More than 700,000 but less than 1M</t>
  </si>
  <si>
    <t>Between 10,001 GWh and 20,000 GWh</t>
  </si>
  <si>
    <t>Criticality_Bands</t>
  </si>
  <si>
    <t>Less than 20 PJ</t>
  </si>
  <si>
    <t>More than 1M</t>
  </si>
  <si>
    <t>Between 20,001 GWh and 30,000 GWh</t>
  </si>
  <si>
    <t>Low</t>
  </si>
  <si>
    <t>More than 20 PJ but less than 40 PJ</t>
  </si>
  <si>
    <t>Between 500 and less than 2,500 ML </t>
  </si>
  <si>
    <t>Australian Capital Territory (ACT)</t>
  </si>
  <si>
    <t>More than 30,000 GWh</t>
  </si>
  <si>
    <t>Medium</t>
  </si>
  <si>
    <t>More than 40 PJ but less than 60 PJ</t>
  </si>
  <si>
    <t>Between 2,500 and less than 10,000 ML </t>
  </si>
  <si>
    <t>New South Wales (NSW)</t>
  </si>
  <si>
    <t>Less than 2,500</t>
  </si>
  <si>
    <t>High</t>
  </si>
  <si>
    <t>More than 60 PJ but less than 80 PJ</t>
  </si>
  <si>
    <t>R.L_DNSP.3</t>
  </si>
  <si>
    <t>Between 10,000 and less than 20,000 ML </t>
  </si>
  <si>
    <t>Queensland (QLD)</t>
  </si>
  <si>
    <t>Between 2,501 and 5,000</t>
  </si>
  <si>
    <t>More than 80 PJ</t>
  </si>
  <si>
    <t>More than 20,000 ML </t>
  </si>
  <si>
    <t>South Australia (SA)</t>
  </si>
  <si>
    <t>Between 5,001 and 7,500</t>
  </si>
  <si>
    <t>Tasmania (TAS)</t>
  </si>
  <si>
    <t>Not Applicable</t>
  </si>
  <si>
    <t>More than 7,500</t>
  </si>
  <si>
    <t>Victoria (VIC)</t>
  </si>
  <si>
    <t>Less than 500 MW</t>
  </si>
  <si>
    <t>R.L_PROD.3</t>
  </si>
  <si>
    <t>R.L_DNSP.4</t>
  </si>
  <si>
    <t>Western Australia (WA)</t>
  </si>
  <si>
    <t>Between 501 MW and 1,000 MW</t>
  </si>
  <si>
    <t>Less than 1,000</t>
  </si>
  <si>
    <t>Less than 5 ML </t>
  </si>
  <si>
    <t>Northern Territory (NT)</t>
  </si>
  <si>
    <t>Between 1,001 MW and 1,500 MW</t>
  </si>
  <si>
    <t>1,001 - 2,500</t>
  </si>
  <si>
    <t>Between 5 and less than 25 ML </t>
  </si>
  <si>
    <t>More than 1,500 MW</t>
  </si>
  <si>
    <t>2,501 - 5,000</t>
  </si>
  <si>
    <t>Between 25 and less than 100 ML </t>
  </si>
  <si>
    <t>More than 5,000</t>
  </si>
  <si>
    <t>Between 100 and less than 200 ML </t>
  </si>
  <si>
    <t>More than 200 ML </t>
  </si>
  <si>
    <t>R.L_DNSP.5</t>
  </si>
  <si>
    <t>Less than 200 ML </t>
  </si>
  <si>
    <t>Less than 10% </t>
  </si>
  <si>
    <t>Between 200 and less than 1,000 ML </t>
  </si>
  <si>
    <t>R.L_TNSP.0</t>
  </si>
  <si>
    <t>Between 10% and less than 50% </t>
  </si>
  <si>
    <t>Between 1,000 and less than 5,000 ML </t>
  </si>
  <si>
    <t>Between 50% and less than 90% </t>
  </si>
  <si>
    <t>Between 5,000 and less than 15,000 ML </t>
  </si>
  <si>
    <t>More than 90% </t>
  </si>
  <si>
    <t>More than 15,000 ML </t>
  </si>
  <si>
    <t>R.L_TNSP.1</t>
  </si>
  <si>
    <t>Less than 100 TJ/d</t>
  </si>
  <si>
    <t>More than 100 TJ/d but less than 300 TJ/d</t>
  </si>
  <si>
    <t>Less than 100 ML </t>
  </si>
  <si>
    <t>Between 501 MW and 2,500 MW</t>
  </si>
  <si>
    <t>More than 300 TJ/d but less than 500 TJ/d</t>
  </si>
  <si>
    <t>R.L_RET.0</t>
  </si>
  <si>
    <t>Between 100 and less than 500 ML </t>
  </si>
  <si>
    <t>Between 2,501 MW and 5,000 MW</t>
  </si>
  <si>
    <t>More than 500 TJ/d but less than 1,000 TJ/d</t>
  </si>
  <si>
    <t>Between 500 and less than 2,000 ML </t>
  </si>
  <si>
    <t>Less than 200 MW</t>
  </si>
  <si>
    <t>Between 5,001 MW and 7,500 MW</t>
  </si>
  <si>
    <t>More than 1,000 TJ/d</t>
  </si>
  <si>
    <t>Between 2,000 and less than 5,000 ML </t>
  </si>
  <si>
    <t>Between 201 MW and 450 MW</t>
  </si>
  <si>
    <t>More than 7,500 MW</t>
  </si>
  <si>
    <t>More than 5,000 ML </t>
  </si>
  <si>
    <t>Between 451 MW and 700 MW</t>
  </si>
  <si>
    <t>R.L_RET.1</t>
  </si>
  <si>
    <t>More than 700 MW</t>
  </si>
  <si>
    <t>R.L_TNSP.2</t>
  </si>
  <si>
    <t>Less than 25%</t>
  </si>
  <si>
    <t>Between 26% and 50%</t>
  </si>
  <si>
    <t>Between 51% and 75%</t>
  </si>
  <si>
    <t>More than 75%</t>
  </si>
  <si>
    <t>R.L_TNSP.3</t>
  </si>
  <si>
    <t>R.L_RET.2</t>
  </si>
  <si>
    <t>Less than 500</t>
  </si>
  <si>
    <t>Less than 25 ML </t>
  </si>
  <si>
    <t>None</t>
  </si>
  <si>
    <t>501 - 1,000</t>
  </si>
  <si>
    <t>Between 25 and less than 150 ML </t>
  </si>
  <si>
    <t>Between 150 and less than 500 ML </t>
  </si>
  <si>
    <t>More than 2,500</t>
  </si>
  <si>
    <t>Between 500 and less than 1,500 ML </t>
  </si>
  <si>
    <t>More than 1,500 ML </t>
  </si>
  <si>
    <t>4+</t>
  </si>
  <si>
    <t>R.L_TNSP.4</t>
  </si>
  <si>
    <t>R.L_RET.3</t>
  </si>
  <si>
    <t>Less than 2</t>
  </si>
  <si>
    <t>2-3</t>
  </si>
  <si>
    <t>Less than 15 ML </t>
  </si>
  <si>
    <t>Less than 500 GWh</t>
  </si>
  <si>
    <t>4-6</t>
  </si>
  <si>
    <t>Between 15 ML and less than 100 ML </t>
  </si>
  <si>
    <t>Between 501 GWh and 5,000 GWh</t>
  </si>
  <si>
    <t>7-10</t>
  </si>
  <si>
    <t>Between 100 ML and less than 250 ML </t>
  </si>
  <si>
    <t>Between 5,001 GWh and 15,000 GWh</t>
  </si>
  <si>
    <t>More than 10</t>
  </si>
  <si>
    <t>Between 250 ML and less than 750 ML </t>
  </si>
  <si>
    <t>R.L_WHLS.4</t>
  </si>
  <si>
    <t>R.L_TNSP.5</t>
  </si>
  <si>
    <t>A.G_TSNP.5</t>
  </si>
  <si>
    <t>Less than 2,500 TJ</t>
  </si>
  <si>
    <t>More than 2,500 TJ but less than 5,000 TJ</t>
  </si>
  <si>
    <t>R.L_OPS.0</t>
  </si>
  <si>
    <t>Less than 2 ML/d</t>
  </si>
  <si>
    <t>More than 5,000 TJ but less than 10,000 TJ</t>
  </si>
  <si>
    <t>Between 2 and less than 25 ML/d</t>
  </si>
  <si>
    <t>More than 10,000 TJ but less than 15,000 TJ</t>
  </si>
  <si>
    <t>Between 25 and less than 400 ML/d</t>
  </si>
  <si>
    <t>More than 15,000 TJ</t>
  </si>
  <si>
    <t>More than 400 ML/d</t>
  </si>
  <si>
    <t>R.L_OPS.1</t>
  </si>
  <si>
    <t>R.L_TNSP.6</t>
  </si>
  <si>
    <t>A.GTNSP.6</t>
  </si>
  <si>
    <t>R.L_TNSP.7</t>
  </si>
  <si>
    <t>0 - 2,500</t>
  </si>
  <si>
    <t>Less than 50 TJ</t>
  </si>
  <si>
    <t>More than 50 TJ but less than 100 TJ</t>
  </si>
  <si>
    <t>5,001 - 7,500</t>
  </si>
  <si>
    <t>More than 100 TJ but less than 200 TJ</t>
  </si>
  <si>
    <t>More than 200 TJ but less than 300 TJ</t>
  </si>
  <si>
    <t>More than 300 TJ</t>
  </si>
  <si>
    <t>R.L_TNSP.8</t>
  </si>
  <si>
    <t>Off-shore (water-vessel) </t>
  </si>
  <si>
    <t>Less than 50 TJ/d</t>
  </si>
  <si>
    <t>More than 50 TJ/d but less than 100 TJ/d</t>
  </si>
  <si>
    <t>More than 100 TJ/d but less than 200 TJ/d</t>
  </si>
  <si>
    <t>More than 200 TJ/d but less than 400 TJ/d</t>
  </si>
  <si>
    <t>More than 400 TJ/d</t>
  </si>
  <si>
    <t>Less than 2 PJ</t>
  </si>
  <si>
    <t>More than 2 PJ but less than 10 PJ</t>
  </si>
  <si>
    <t>More than 10 PJ but less than 30 PJ</t>
  </si>
  <si>
    <t>More than 30 PJ but less than 50 PJ</t>
  </si>
  <si>
    <t>More than 50 PJ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</si>
</sst>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font>
      <sz val="10"/>
      <color theme="1"/>
      <name val="Calibri"/>
      <family val="2"/>
      <scheme val="minor"/>
    </font>
    <font>
      <sz val="10"/>
      <color theme="1"/>
      <name val="Roboto"/>
    </font>
    <font>
      <sz val="18"/>
      <color theme="3"/>
      <name val="Calibri Light"/>
      <family val="2"/>
      <scheme val="major"/>
    </font>
    <font>
      <sz val="10"/>
      <name val="Calibri Light"/>
      <family val="2"/>
      <scheme val="major"/>
    </font>
    <font>
      <sz val="10"/>
      <color theme="1"/>
      <name val="Calibri"/>
      <family val="2"/>
      <scheme val="minor"/>
    </font>
    <font>
      <b/>
      <sz val="10"/>
      <color theme="0"/>
      <name val="Calibri"/>
      <family val="2"/>
      <scheme val="minor"/>
    </font>
    <font>
      <b/>
      <sz val="10"/>
      <color theme="1"/>
      <name val="Calibri"/>
      <family val="2"/>
      <scheme val="minor"/>
    </font>
    <font>
      <sz val="10"/>
      <color rgb="FF9C0006"/>
      <name val="Calibri"/>
      <family val="2"/>
      <scheme val="minor"/>
    </font>
    <font>
      <sz val="10"/>
      <color rgb="FF006100"/>
      <name val="Calibri"/>
      <family val="2"/>
      <scheme val="minor"/>
    </font>
    <font>
      <sz val="10"/>
      <color rgb="FF9C6500"/>
      <name val="Calibri"/>
      <family val="2"/>
      <scheme val="minor"/>
    </font>
    <font>
      <u/>
      <sz val="10"/>
      <color theme="11"/>
      <name val="Calibri"/>
      <family val="2"/>
      <scheme val="minor"/>
    </font>
    <font>
      <u/>
      <sz val="10"/>
      <color theme="1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0"/>
      <name val="Calibri"/>
      <family val="2"/>
      <scheme val="minor"/>
    </font>
    <font>
      <i/>
      <sz val="10"/>
      <color theme="1"/>
      <name val="Calibri"/>
      <family val="2"/>
      <scheme val="minor"/>
    </font>
    <font>
      <b/>
      <sz val="11"/>
      <color theme="0" tint="-0.499984740745262"/>
      <name val="Calibri"/>
      <family val="2"/>
      <scheme val="minor"/>
    </font>
    <font>
      <u/>
      <sz val="10"/>
      <color theme="3"/>
      <name val="Calibri"/>
      <family val="2"/>
      <scheme val="minor"/>
    </font>
    <font>
      <sz val="8"/>
      <name val="Calibri"/>
      <family val="2"/>
      <scheme val="minor"/>
    </font>
    <font>
      <sz val="20"/>
      <color theme="0"/>
      <name val="Calibri"/>
      <family val="2"/>
      <scheme val="minor"/>
    </font>
    <font>
      <b/>
      <sz val="20"/>
      <color theme="0"/>
      <name val="Calibri"/>
      <family val="2"/>
      <scheme val="minor"/>
    </font>
    <font>
      <b/>
      <sz val="10"/>
      <color rgb="FF000000"/>
      <name val="Arial"/>
      <family val="2"/>
    </font>
    <font>
      <b/>
      <i/>
      <sz val="10"/>
      <color theme="1"/>
      <name val="Calibri"/>
      <family val="2"/>
      <scheme val="minor"/>
    </font>
  </fonts>
  <fills count="15">
    <fill>
      <patternFill patternType="none"/>
    </fill>
    <fill>
      <patternFill patternType="gray125"/>
    </fill>
    <fill>
      <patternFill patternType="solid">
        <fgColor theme="2"/>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theme="0"/>
        <bgColor indexed="64"/>
      </patternFill>
    </fill>
    <fill>
      <patternFill patternType="solid">
        <fgColor theme="0"/>
        <bgColor rgb="FF000000"/>
      </patternFill>
    </fill>
    <fill>
      <patternFill patternType="solid">
        <fgColor theme="3" tint="0.39994506668294322"/>
        <bgColor indexed="64"/>
      </patternFill>
    </fill>
    <fill>
      <patternFill patternType="solid">
        <fgColor theme="0" tint="-4.9989318521683403E-2"/>
        <bgColor auto="1"/>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theme="1" tint="0.24994659260841701"/>
        <bgColor indexed="65"/>
      </patternFill>
    </fill>
  </fills>
  <borders count="11">
    <border>
      <left/>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top/>
      <bottom style="thick">
        <color theme="4"/>
      </bottom>
      <diagonal/>
    </border>
    <border>
      <left/>
      <right/>
      <top/>
      <bottom style="thick">
        <color theme="4" tint="0.499984740745262"/>
      </bottom>
      <diagonal/>
    </border>
    <border>
      <left style="thin">
        <color auto="1"/>
      </left>
      <right style="thin">
        <color auto="1"/>
      </right>
      <top style="thin">
        <color auto="1"/>
      </top>
      <bottom style="thin">
        <color auto="1"/>
      </bottom>
      <diagonal/>
    </border>
    <border>
      <left/>
      <right/>
      <top/>
      <bottom style="medium">
        <color theme="3" tint="0.39994506668294322"/>
      </bottom>
      <diagonal/>
    </border>
    <border>
      <left/>
      <right/>
      <top/>
      <bottom style="medium">
        <color theme="0" tint="-0.2499465926084170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theme="1"/>
      </left>
      <right style="thin">
        <color theme="1"/>
      </right>
      <top style="thin">
        <color theme="1"/>
      </top>
      <bottom style="thin">
        <color theme="1"/>
      </bottom>
      <diagonal/>
    </border>
  </borders>
  <cellStyleXfs count="23">
    <xf numFmtId="0" fontId="0" fillId="6" borderId="0">
      <alignment vertical="top" wrapText="1"/>
    </xf>
    <xf numFmtId="49" fontId="4" fillId="9" borderId="4">
      <alignment vertical="top" wrapText="1"/>
      <protection locked="0"/>
    </xf>
    <xf numFmtId="0" fontId="4" fillId="2" borderId="1">
      <alignment vertical="top" wrapText="1"/>
    </xf>
    <xf numFmtId="0" fontId="12" fillId="0" borderId="2" applyNumberFormat="0" applyFill="0" applyProtection="0"/>
    <xf numFmtId="0" fontId="13" fillId="0" borderId="3" applyNumberFormat="0" applyFill="0" applyProtection="0"/>
    <xf numFmtId="0" fontId="14" fillId="0" borderId="5" applyNumberFormat="0" applyFill="0" applyProtection="0"/>
    <xf numFmtId="0" fontId="15" fillId="6" borderId="0" applyNumberFormat="0" applyAlignment="0" applyProtection="0"/>
    <xf numFmtId="0" fontId="8" fillId="3" borderId="0" applyNumberFormat="0" applyBorder="0" applyAlignment="0" applyProtection="0"/>
    <xf numFmtId="0" fontId="7" fillId="4" borderId="0" applyNumberFormat="0" applyBorder="0" applyAlignment="0" applyProtection="0"/>
    <xf numFmtId="0" fontId="9" fillId="5" borderId="0" applyNumberFormat="0" applyBorder="0" applyAlignment="0" applyProtection="0"/>
    <xf numFmtId="0" fontId="6" fillId="7" borderId="0">
      <alignment horizontal="center" vertical="top" wrapText="1"/>
    </xf>
    <xf numFmtId="0" fontId="16" fillId="6" borderId="0">
      <alignment vertical="top" wrapText="1"/>
    </xf>
    <xf numFmtId="9" fontId="1" fillId="0" borderId="0" applyFont="0" applyFill="0" applyBorder="0" applyAlignment="0" applyProtection="0"/>
    <xf numFmtId="0" fontId="2" fillId="0" borderId="0" applyNumberFormat="0" applyFill="0" applyBorder="0" applyAlignment="0" applyProtection="0"/>
    <xf numFmtId="49" fontId="4" fillId="6" borderId="0" applyFill="0" applyBorder="0">
      <alignment horizontal="right" vertical="top" wrapText="1"/>
    </xf>
    <xf numFmtId="0" fontId="11" fillId="6" borderId="0" applyNumberFormat="0" applyFill="0" applyBorder="0" applyAlignment="0">
      <alignment wrapText="1"/>
      <protection locked="0"/>
    </xf>
    <xf numFmtId="0" fontId="10" fillId="6" borderId="0" applyNumberFormat="0" applyFill="0" applyBorder="0" applyAlignment="0">
      <alignment wrapText="1"/>
      <protection locked="0"/>
    </xf>
    <xf numFmtId="0" fontId="18" fillId="6" borderId="0" applyFill="0" applyBorder="0" applyAlignment="0">
      <alignment wrapText="1"/>
    </xf>
    <xf numFmtId="0" fontId="5" fillId="8" borderId="0">
      <alignment vertical="center"/>
    </xf>
    <xf numFmtId="0" fontId="3" fillId="0" borderId="0" applyNumberFormat="0" applyFill="0" applyBorder="0" applyAlignment="0" applyProtection="0"/>
    <xf numFmtId="49" fontId="4" fillId="9" borderId="0" applyBorder="0">
      <alignment vertical="top" wrapText="1"/>
      <protection locked="0"/>
    </xf>
    <xf numFmtId="0" fontId="17" fillId="0" borderId="6" applyFill="0" applyProtection="0"/>
    <xf numFmtId="0" fontId="5" fillId="14" borderId="7">
      <alignment vertical="center"/>
    </xf>
  </cellStyleXfs>
  <cellXfs count="63">
    <xf numFmtId="0" fontId="0" fillId="6" borderId="0" xfId="0">
      <alignment vertical="top" wrapText="1"/>
    </xf>
    <xf numFmtId="0" fontId="0" fillId="6" borderId="4" xfId="0" applyBorder="1">
      <alignment vertical="top" wrapText="1"/>
    </xf>
    <xf numFmtId="0" fontId="13" fillId="0" borderId="3" xfId="4" applyAlignment="1">
      <alignment wrapText="1"/>
    </xf>
    <xf numFmtId="0" fontId="6" fillId="7" borderId="0" xfId="10">
      <alignment horizontal="center" vertical="top" wrapText="1"/>
    </xf>
    <xf numFmtId="0" fontId="12" fillId="6" borderId="2" xfId="3" applyFill="1" applyAlignment="1">
      <alignment wrapText="1"/>
    </xf>
    <xf numFmtId="0" fontId="13" fillId="6" borderId="3" xfId="4" applyFill="1" applyAlignment="1">
      <alignment wrapText="1"/>
    </xf>
    <xf numFmtId="0" fontId="18" fillId="6" borderId="0" xfId="17">
      <alignment wrapText="1"/>
    </xf>
    <xf numFmtId="0" fontId="16" fillId="6" borderId="0" xfId="11">
      <alignment vertical="top" wrapText="1"/>
    </xf>
    <xf numFmtId="0" fontId="5" fillId="8" borderId="0" xfId="18">
      <alignment vertical="center"/>
    </xf>
    <xf numFmtId="0" fontId="5" fillId="8" borderId="0" xfId="18" applyAlignment="1">
      <alignment horizontal="right" vertical="center"/>
    </xf>
    <xf numFmtId="0" fontId="18" fillId="6" borderId="0" xfId="17" applyAlignment="1">
      <alignment vertical="top" wrapText="1"/>
    </xf>
    <xf numFmtId="0" fontId="14" fillId="6" borderId="5" xfId="5" applyFill="1"/>
    <xf numFmtId="9" fontId="2" fillId="6" borderId="0" xfId="13" applyNumberFormat="1" applyFill="1" applyAlignment="1">
      <alignment vertical="top" wrapText="1"/>
    </xf>
    <xf numFmtId="9" fontId="3" fillId="6" borderId="0" xfId="19" applyNumberFormat="1" applyFill="1" applyAlignment="1">
      <alignment vertical="top" wrapText="1"/>
    </xf>
    <xf numFmtId="49" fontId="4" fillId="9" borderId="4" xfId="1">
      <alignment vertical="top" wrapText="1"/>
      <protection locked="0"/>
    </xf>
    <xf numFmtId="0" fontId="12" fillId="6" borderId="2" xfId="3" applyFill="1"/>
    <xf numFmtId="0" fontId="5" fillId="8" borderId="4" xfId="18" applyBorder="1" applyAlignment="1">
      <alignment horizontal="center" vertical="center"/>
    </xf>
    <xf numFmtId="0" fontId="5" fillId="8" borderId="4" xfId="18" applyBorder="1" applyAlignment="1">
      <alignment horizontal="center" vertical="center" textRotation="90"/>
    </xf>
    <xf numFmtId="49" fontId="6" fillId="6" borderId="0" xfId="14" applyFont="1" applyAlignment="1">
      <alignment horizontal="left" wrapText="1"/>
    </xf>
    <xf numFmtId="49" fontId="6" fillId="6" borderId="0" xfId="14" applyFont="1" applyAlignment="1">
      <alignment horizontal="left" vertical="top" wrapText="1" indent="2"/>
    </xf>
    <xf numFmtId="0" fontId="17" fillId="6" borderId="6" xfId="21" applyFill="1"/>
    <xf numFmtId="0" fontId="15" fillId="6" borderId="0" xfId="6" applyProtection="1">
      <protection locked="0"/>
    </xf>
    <xf numFmtId="0" fontId="15" fillId="6" borderId="0" xfId="6" applyAlignment="1">
      <alignment horizontal="right" vertical="center" wrapText="1"/>
    </xf>
    <xf numFmtId="0" fontId="15" fillId="6" borderId="0" xfId="6" applyAlignment="1">
      <alignment horizontal="center" vertical="top" wrapText="1"/>
    </xf>
    <xf numFmtId="9" fontId="5" fillId="12" borderId="0" xfId="12" applyFont="1" applyFill="1" applyAlignment="1">
      <alignment horizontal="center" vertical="center" wrapText="1"/>
    </xf>
    <xf numFmtId="9" fontId="6" fillId="11" borderId="0" xfId="12" applyFont="1" applyFill="1" applyAlignment="1">
      <alignment horizontal="center" vertical="center" wrapText="1"/>
    </xf>
    <xf numFmtId="9" fontId="6" fillId="10" borderId="0" xfId="12" applyFont="1" applyFill="1" applyAlignment="1">
      <alignment horizontal="center" vertical="center" wrapText="1"/>
    </xf>
    <xf numFmtId="9" fontId="0" fillId="6" borderId="0" xfId="12" applyFont="1" applyFill="1" applyAlignment="1">
      <alignment vertical="top" wrapText="1"/>
    </xf>
    <xf numFmtId="9" fontId="6" fillId="7" borderId="0" xfId="12" applyFont="1" applyFill="1" applyAlignment="1">
      <alignment horizontal="center" vertical="top" wrapText="1"/>
    </xf>
    <xf numFmtId="1" fontId="0" fillId="6" borderId="0" xfId="12" applyNumberFormat="1" applyFont="1" applyFill="1" applyAlignment="1">
      <alignment vertical="top" wrapText="1"/>
    </xf>
    <xf numFmtId="0" fontId="5" fillId="14" borderId="7" xfId="22">
      <alignment vertical="center"/>
    </xf>
    <xf numFmtId="12" fontId="0" fillId="6" borderId="4" xfId="0" applyNumberFormat="1" applyBorder="1">
      <alignment vertical="top" wrapText="1"/>
    </xf>
    <xf numFmtId="49" fontId="0" fillId="6" borderId="4" xfId="0" applyNumberFormat="1" applyBorder="1">
      <alignment vertical="top" wrapText="1"/>
    </xf>
    <xf numFmtId="2" fontId="0" fillId="6" borderId="4" xfId="0" applyNumberFormat="1" applyBorder="1">
      <alignment vertical="top" wrapText="1"/>
    </xf>
    <xf numFmtId="0" fontId="6" fillId="6" borderId="4" xfId="0" applyFont="1" applyBorder="1">
      <alignment vertical="top" wrapText="1"/>
    </xf>
    <xf numFmtId="9" fontId="0" fillId="6" borderId="4" xfId="0" applyNumberFormat="1" applyBorder="1">
      <alignment vertical="top" wrapText="1"/>
    </xf>
    <xf numFmtId="0" fontId="20" fillId="13" borderId="0" xfId="0" applyFont="1" applyFill="1" applyAlignment="1">
      <alignment horizontal="center" vertical="center" wrapText="1"/>
    </xf>
    <xf numFmtId="0" fontId="13" fillId="6" borderId="3" xfId="4" applyFill="1"/>
    <xf numFmtId="164" fontId="6" fillId="7" borderId="0" xfId="12" applyNumberFormat="1" applyFont="1" applyFill="1" applyAlignment="1">
      <alignment horizontal="center" vertical="top" wrapText="1"/>
    </xf>
    <xf numFmtId="0" fontId="0" fillId="6" borderId="4" xfId="0" quotePrefix="1" applyBorder="1">
      <alignment vertical="top" wrapText="1"/>
    </xf>
    <xf numFmtId="164" fontId="0" fillId="6" borderId="0" xfId="12" applyNumberFormat="1" applyFont="1" applyFill="1" applyAlignment="1">
      <alignment vertical="top" wrapText="1"/>
    </xf>
    <xf numFmtId="2" fontId="0" fillId="6" borderId="0" xfId="0" applyNumberFormat="1">
      <alignment vertical="top" wrapText="1"/>
    </xf>
    <xf numFmtId="0" fontId="0" fillId="6" borderId="10" xfId="0" applyBorder="1">
      <alignment vertical="top" wrapText="1"/>
    </xf>
    <xf numFmtId="0" fontId="16" fillId="6" borderId="0" xfId="11" quotePrefix="1">
      <alignment vertical="top" wrapText="1"/>
    </xf>
    <xf numFmtId="0" fontId="5" fillId="7" borderId="0" xfId="10" applyFont="1">
      <alignment horizontal="center" vertical="top" wrapText="1"/>
    </xf>
    <xf numFmtId="0" fontId="0" fillId="6" borderId="0" xfId="0" applyAlignment="1">
      <alignment horizontal="left" vertical="top" wrapText="1"/>
    </xf>
    <xf numFmtId="0" fontId="16" fillId="6" borderId="0" xfId="11" applyAlignment="1">
      <alignment horizontal="left" vertical="top" wrapText="1"/>
    </xf>
    <xf numFmtId="0" fontId="16" fillId="6" borderId="0" xfId="11" quotePrefix="1" applyAlignment="1">
      <alignment horizontal="left" vertical="top" wrapText="1"/>
    </xf>
    <xf numFmtId="0" fontId="12" fillId="6" borderId="2" xfId="3" applyFill="1" applyAlignment="1">
      <alignment horizontal="left" wrapText="1"/>
    </xf>
    <xf numFmtId="0" fontId="13" fillId="0" borderId="3" xfId="4" applyAlignment="1">
      <alignment horizontal="left" wrapText="1"/>
    </xf>
    <xf numFmtId="0" fontId="13" fillId="6" borderId="3" xfId="4" applyFill="1" applyAlignment="1">
      <alignment wrapText="1"/>
    </xf>
    <xf numFmtId="0" fontId="20" fillId="13" borderId="0" xfId="0" applyFont="1" applyFill="1" applyAlignment="1">
      <alignment horizontal="center" vertical="center" wrapText="1"/>
    </xf>
    <xf numFmtId="2" fontId="20" fillId="13" borderId="0" xfId="0" applyNumberFormat="1" applyFont="1" applyFill="1" applyAlignment="1">
      <alignment horizontal="center" vertical="center" wrapText="1"/>
    </xf>
    <xf numFmtId="2" fontId="21" fillId="13" borderId="0" xfId="0" applyNumberFormat="1" applyFont="1" applyFill="1" applyAlignment="1">
      <alignment horizontal="center" vertical="center" wrapText="1"/>
    </xf>
    <xf numFmtId="0" fontId="21" fillId="13" borderId="0" xfId="0" applyFont="1" applyFill="1" applyAlignment="1">
      <alignment horizontal="center" vertical="center" wrapText="1"/>
    </xf>
    <xf numFmtId="0" fontId="12" fillId="6" borderId="2" xfId="3" applyFill="1" applyAlignment="1"/>
    <xf numFmtId="0" fontId="0" fillId="6" borderId="0" xfId="0" applyAlignment="1">
      <alignment vertical="top" wrapText="1"/>
    </xf>
    <xf numFmtId="0" fontId="16" fillId="6" borderId="0" xfId="11" applyAlignment="1">
      <alignment vertical="top" wrapText="1"/>
    </xf>
    <xf numFmtId="0" fontId="23" fillId="6" borderId="0" xfId="11" applyFont="1" applyAlignment="1">
      <alignment vertical="top" wrapText="1"/>
    </xf>
    <xf numFmtId="0" fontId="13" fillId="6" borderId="3" xfId="4" applyFill="1" applyAlignment="1"/>
    <xf numFmtId="0" fontId="5" fillId="14" borderId="7" xfId="22" applyAlignment="1">
      <alignment vertical="center"/>
    </xf>
    <xf numFmtId="0" fontId="5" fillId="14" borderId="8" xfId="22" applyBorder="1" applyAlignment="1">
      <alignment vertical="center"/>
    </xf>
    <xf numFmtId="0" fontId="5" fillId="14" borderId="9" xfId="22" applyBorder="1" applyAlignment="1">
      <alignment vertical="center"/>
    </xf>
  </cellXfs>
  <cellStyles count="23">
    <cellStyle name="Bad" xfId="8" builtinId="27" customBuiltin="1"/>
    <cellStyle name="ContextGuidance" xfId="11" xr:uid="{00000000-0005-0000-0000-000002000000}"/>
    <cellStyle name="CriticalityResponse" xfId="20" xr:uid="{00000000-0005-0000-0000-000003000000}"/>
    <cellStyle name="Followed Hyperlink" xfId="16" builtinId="9"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eading Grey" xfId="21" xr:uid="{00000000-0005-0000-0000-00000B000000}"/>
    <cellStyle name="Hyperlink" xfId="15" builtinId="8" customBuiltin="1"/>
    <cellStyle name="MIL SP" xfId="10" xr:uid="{00000000-0005-0000-0000-00000D000000}"/>
    <cellStyle name="Neutral" xfId="9" builtinId="28" customBuiltin="1"/>
    <cellStyle name="No Protection" xfId="1" xr:uid="{00000000-0005-0000-0000-000010000000}"/>
    <cellStyle name="Normal" xfId="0" builtinId="0" customBuiltin="1"/>
    <cellStyle name="NumberAsText" xfId="14" xr:uid="{00000000-0005-0000-0000-000013000000}"/>
    <cellStyle name="Objective Heading" xfId="18" xr:uid="{00000000-0005-0000-0000-000014000000}"/>
    <cellStyle name="Percent" xfId="12" builtinId="5"/>
    <cellStyle name="Protected Hyperlink" xfId="17" xr:uid="{00000000-0005-0000-0000-000017000000}"/>
    <cellStyle name="Protection" xfId="2" xr:uid="{00000000-0005-0000-0000-000018000000}"/>
    <cellStyle name="Range Heading" xfId="22" xr:uid="{AD0E5A50-4D62-7D43-9BFE-70672B8E2A46}"/>
    <cellStyle name="Title" xfId="13" builtinId="15"/>
    <cellStyle name="Title Reduced" xfId="19" xr:uid="{00000000-0005-0000-0000-00001B000000}"/>
  </cellStyles>
  <dxfs count="24">
    <dxf>
      <numFmt numFmtId="2" formatCode="0.00"/>
    </dxf>
    <dxf>
      <numFmt numFmtId="0" formatCode="General"/>
    </dxf>
    <dxf>
      <numFmt numFmtId="0" formatCode="General"/>
    </dxf>
    <dxf>
      <numFmt numFmtId="0" formatCode="General"/>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general" vertical="top" textRotation="0" wrapText="1" indent="0" justifyLastLine="0" shrinkToFit="0" readingOrder="0"/>
    </dxf>
    <dxf>
      <numFmt numFmtId="0" formatCode="General"/>
    </dxf>
    <dxf>
      <numFmt numFmtId="0" formatCode="General"/>
    </dxf>
    <dxf>
      <numFmt numFmtId="2" formatCode="0.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theme="0"/>
        </patternFill>
      </fill>
      <alignment horizontal="general" vertical="top" textRotation="0" wrapText="1" indent="0" justifyLastLine="0" shrinkToFit="0" readingOrder="0"/>
    </dxf>
    <dxf>
      <numFmt numFmtId="0" formatCode="General"/>
    </dxf>
    <dxf>
      <numFmt numFmtId="0" formatCode="General"/>
    </dxf>
    <dxf>
      <numFmt numFmtId="0" formatCode="General"/>
    </dxf>
    <dxf>
      <numFmt numFmtId="0" formatCode="General"/>
    </dxf>
    <dxf>
      <numFmt numFmtId="0" formatCode="General"/>
    </dxf>
    <dxf>
      <font>
        <color theme="0"/>
      </font>
      <fill>
        <patternFill>
          <bgColor rgb="FF046664"/>
        </patternFill>
      </fill>
    </dxf>
  </dxfs>
  <tableStyles count="0" defaultTableStyle="TableStyleMedium2" defaultPivotStyle="PivotStyleLight16"/>
  <colors>
    <mruColors>
      <color rgb="FF046664"/>
      <color rgb="FFCC0204"/>
      <color rgb="FFC994C7"/>
      <color rgb="FFDC7083"/>
      <color rgb="FFA8A9BA"/>
      <color rgb="FF008000"/>
      <color rgb="FFCC0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6"/>
          <c:order val="0"/>
          <c:tx>
            <c:strRef>
              <c:f>Aggregate!$J$9</c:f>
              <c:strCache>
                <c:ptCount val="1"/>
                <c:pt idx="0">
                  <c:v>RM</c:v>
                </c:pt>
              </c:strCache>
            </c:strRef>
          </c:tx>
          <c:spPr>
            <a:solidFill>
              <a:srgbClr val="046664"/>
            </a:solidFill>
          </c:spPr>
          <c:dPt>
            <c:idx val="0"/>
            <c:bubble3D val="0"/>
            <c:spPr>
              <a:solidFill>
                <a:srgbClr val="046664"/>
              </a:solidFill>
              <a:ln>
                <a:noFill/>
              </a:ln>
              <a:effectLst/>
            </c:spPr>
            <c:extLst>
              <c:ext xmlns:c16="http://schemas.microsoft.com/office/drawing/2014/chart" uri="{C3380CC4-5D6E-409C-BE32-E72D297353CC}">
                <c16:uniqueId val="{00000001-F32C-0F42-BC7C-4E4465D3BBB9}"/>
              </c:ext>
            </c:extLst>
          </c:dPt>
          <c:dPt>
            <c:idx val="1"/>
            <c:bubble3D val="0"/>
            <c:spPr>
              <a:solidFill>
                <a:srgbClr val="CC0204"/>
              </a:solidFill>
              <a:ln>
                <a:noFill/>
              </a:ln>
              <a:effectLst/>
            </c:spPr>
            <c:extLst>
              <c:ext xmlns:c16="http://schemas.microsoft.com/office/drawing/2014/chart" uri="{C3380CC4-5D6E-409C-BE32-E72D297353CC}">
                <c16:uniqueId val="{00000003-F32C-0F42-BC7C-4E4465D3BBB9}"/>
              </c:ext>
            </c:extLst>
          </c:dPt>
          <c:dPt>
            <c:idx val="2"/>
            <c:bubble3D val="0"/>
            <c:spPr>
              <a:solidFill>
                <a:srgbClr val="046664"/>
              </a:solidFill>
              <a:ln>
                <a:noFill/>
              </a:ln>
              <a:effectLst/>
            </c:spPr>
            <c:extLst>
              <c:ext xmlns:c16="http://schemas.microsoft.com/office/drawing/2014/chart" uri="{C3380CC4-5D6E-409C-BE32-E72D297353CC}">
                <c16:uniqueId val="{00000005-F32C-0F42-BC7C-4E4465D3BBB9}"/>
              </c:ext>
            </c:extLst>
          </c:dPt>
          <c:dPt>
            <c:idx val="3"/>
            <c:bubble3D val="0"/>
            <c:spPr>
              <a:solidFill>
                <a:srgbClr val="046664"/>
              </a:solidFill>
              <a:ln>
                <a:noFill/>
              </a:ln>
              <a:effectLst/>
            </c:spPr>
            <c:extLst>
              <c:ext xmlns:c16="http://schemas.microsoft.com/office/drawing/2014/chart" uri="{C3380CC4-5D6E-409C-BE32-E72D297353CC}">
                <c16:uniqueId val="{00000007-F32C-0F42-BC7C-4E4465D3BBB9}"/>
              </c:ext>
            </c:extLst>
          </c:dPt>
          <c:dPt>
            <c:idx val="4"/>
            <c:bubble3D val="0"/>
            <c:spPr>
              <a:solidFill>
                <a:srgbClr val="046664"/>
              </a:solidFill>
              <a:ln>
                <a:noFill/>
              </a:ln>
              <a:effectLst/>
            </c:spPr>
            <c:extLst>
              <c:ext xmlns:c16="http://schemas.microsoft.com/office/drawing/2014/chart" uri="{C3380CC4-5D6E-409C-BE32-E72D297353CC}">
                <c16:uniqueId val="{00000009-F32C-0F42-BC7C-4E4465D3BBB9}"/>
              </c:ext>
            </c:extLst>
          </c:dPt>
          <c:dPt>
            <c:idx val="5"/>
            <c:bubble3D val="0"/>
            <c:spPr>
              <a:solidFill>
                <a:srgbClr val="CC0204"/>
              </a:solidFill>
              <a:ln>
                <a:noFill/>
              </a:ln>
              <a:effectLst/>
            </c:spPr>
            <c:extLst>
              <c:ext xmlns:c16="http://schemas.microsoft.com/office/drawing/2014/chart" uri="{C3380CC4-5D6E-409C-BE32-E72D297353CC}">
                <c16:uniqueId val="{0000000B-F32C-0F42-BC7C-4E4465D3BBB9}"/>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(Aggregate!$O$9,Aggregate!$U$9)</c:f>
              <c:numCache>
                <c:formatCode>General</c:formatCode>
                <c:ptCount val="2"/>
                <c:pt idx="0">
                  <c:v>0</c:v>
                </c:pt>
                <c:pt idx="1">
                  <c:v>6</c:v>
                </c:pt>
              </c:numCache>
            </c:numRef>
          </c:val>
          <c:extLst>
            <c:ext xmlns:c16="http://schemas.microsoft.com/office/drawing/2014/chart" uri="{C3380CC4-5D6E-409C-BE32-E72D297353CC}">
              <c16:uniqueId val="{0000000C-F32C-0F42-BC7C-4E4465D3BBB9}"/>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3"/>
          <c:order val="0"/>
          <c:tx>
            <c:strRef>
              <c:f>Aggregate!$J$6</c:f>
              <c:strCache>
                <c:ptCount val="1"/>
                <c:pt idx="0">
                  <c:v>IAM</c:v>
                </c:pt>
              </c:strCache>
            </c:strRef>
          </c:tx>
          <c:dPt>
            <c:idx val="0"/>
            <c:bubble3D val="0"/>
            <c:spPr>
              <a:solidFill>
                <a:srgbClr val="046664"/>
              </a:solidFill>
              <a:ln>
                <a:noFill/>
              </a:ln>
              <a:effectLst/>
            </c:spPr>
            <c:extLst>
              <c:ext xmlns:c16="http://schemas.microsoft.com/office/drawing/2014/chart" uri="{C3380CC4-5D6E-409C-BE32-E72D297353CC}">
                <c16:uniqueId val="{00000001-C6CC-6A46-8066-2B927F5FF16F}"/>
              </c:ext>
            </c:extLst>
          </c:dPt>
          <c:dPt>
            <c:idx val="1"/>
            <c:bubble3D val="0"/>
            <c:spPr>
              <a:solidFill>
                <a:srgbClr val="CC0204"/>
              </a:solidFill>
              <a:ln>
                <a:noFill/>
              </a:ln>
              <a:effectLst/>
            </c:spPr>
            <c:extLst>
              <c:ext xmlns:c16="http://schemas.microsoft.com/office/drawing/2014/chart" uri="{C3380CC4-5D6E-409C-BE32-E72D297353CC}">
                <c16:uniqueId val="{00000003-C6CC-6A46-8066-2B927F5FF16F}"/>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(Aggregate!$O$6,Aggregate!$U$6)</c:f>
              <c:numCache>
                <c:formatCode>General</c:formatCode>
                <c:ptCount val="2"/>
                <c:pt idx="0">
                  <c:v>0</c:v>
                </c:pt>
                <c:pt idx="1">
                  <c:v>4</c:v>
                </c:pt>
              </c:numCache>
            </c:numRef>
          </c:val>
          <c:extLst xmlns:c15="http://schemas.microsoft.com/office/drawing/2012/chart">
            <c:ext xmlns:c16="http://schemas.microsoft.com/office/drawing/2014/chart" uri="{C3380CC4-5D6E-409C-BE32-E72D297353CC}">
              <c16:uniqueId val="{00000004-C6CC-6A46-8066-2B927F5FF16F}"/>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3"/>
          <c:order val="0"/>
          <c:tx>
            <c:strRef>
              <c:f>Aggregate!$J$6</c:f>
              <c:strCache>
                <c:ptCount val="1"/>
                <c:pt idx="0">
                  <c:v>IAM</c:v>
                </c:pt>
              </c:strCache>
            </c:strRef>
          </c:tx>
          <c:dPt>
            <c:idx val="0"/>
            <c:bubble3D val="0"/>
            <c:spPr>
              <a:solidFill>
                <a:srgbClr val="046664"/>
              </a:solidFill>
              <a:ln>
                <a:noFill/>
              </a:ln>
              <a:effectLst/>
            </c:spPr>
            <c:extLst>
              <c:ext xmlns:c16="http://schemas.microsoft.com/office/drawing/2014/chart" uri="{C3380CC4-5D6E-409C-BE32-E72D297353CC}">
                <c16:uniqueId val="{00000001-8ADF-3340-9B74-02BE942A393A}"/>
              </c:ext>
            </c:extLst>
          </c:dPt>
          <c:dPt>
            <c:idx val="1"/>
            <c:bubble3D val="0"/>
            <c:spPr>
              <a:solidFill>
                <a:srgbClr val="CC0204"/>
              </a:solidFill>
              <a:ln>
                <a:noFill/>
              </a:ln>
              <a:effectLst/>
            </c:spPr>
            <c:extLst>
              <c:ext xmlns:c16="http://schemas.microsoft.com/office/drawing/2014/chart" uri="{C3380CC4-5D6E-409C-BE32-E72D297353CC}">
                <c16:uniqueId val="{00000003-8ADF-3340-9B74-02BE942A393A}"/>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(Aggregate!$M$6,Aggregate!$S$6)</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4-8ADF-3340-9B74-02BE942A393A}"/>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3"/>
          <c:order val="0"/>
          <c:tx>
            <c:strRef>
              <c:f>Aggregate!$J$6</c:f>
              <c:strCache>
                <c:ptCount val="1"/>
                <c:pt idx="0">
                  <c:v>IAM</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4AFF-4D4C-BB58-0DFDAAFD9A06}"/>
              </c:ext>
            </c:extLst>
          </c:dPt>
          <c:dPt>
            <c:idx val="1"/>
            <c:bubble3D val="0"/>
            <c:spPr>
              <a:solidFill>
                <a:srgbClr val="CC0204"/>
              </a:solidFill>
              <a:ln>
                <a:noFill/>
              </a:ln>
              <a:effectLst/>
            </c:spPr>
            <c:extLst>
              <c:ext xmlns:c16="http://schemas.microsoft.com/office/drawing/2014/chart" uri="{C3380CC4-5D6E-409C-BE32-E72D297353CC}">
                <c16:uniqueId val="{00000003-4AFF-4D4C-BB58-0DFDAAFD9A06}"/>
              </c:ext>
            </c:extLst>
          </c:dPt>
          <c:dPt>
            <c:idx val="2"/>
            <c:bubble3D val="0"/>
            <c:spPr>
              <a:solidFill>
                <a:schemeClr val="accent3"/>
              </a:solidFill>
              <a:ln>
                <a:noFill/>
              </a:ln>
              <a:effectLst/>
            </c:spPr>
            <c:extLst>
              <c:ext xmlns:c16="http://schemas.microsoft.com/office/drawing/2014/chart" uri="{C3380CC4-5D6E-409C-BE32-E72D297353CC}">
                <c16:uniqueId val="{00000005-4AFF-4D4C-BB58-0DFDAAFD9A06}"/>
              </c:ext>
            </c:extLst>
          </c:dPt>
          <c:dPt>
            <c:idx val="3"/>
            <c:bubble3D val="0"/>
            <c:spPr>
              <a:solidFill>
                <a:srgbClr val="CC0204"/>
              </a:solidFill>
              <a:ln>
                <a:noFill/>
              </a:ln>
              <a:effectLst/>
            </c:spPr>
            <c:extLst>
              <c:ext xmlns:c16="http://schemas.microsoft.com/office/drawing/2014/chart" uri="{C3380CC4-5D6E-409C-BE32-E72D297353CC}">
                <c16:uniqueId val="{00000007-4AFF-4D4C-BB58-0DFDAAFD9A06}"/>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(Aggregate!$K$6,Aggregate!$Q$6)</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8-4AFF-4D4C-BB58-0DFDAAFD9A06}"/>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5"/>
          <c:order val="0"/>
          <c:tx>
            <c:strRef>
              <c:f>Aggregate!$J$8</c:f>
              <c:strCache>
                <c:ptCount val="1"/>
                <c:pt idx="0">
                  <c:v>ISC</c:v>
                </c:pt>
              </c:strCache>
            </c:strRef>
          </c:tx>
          <c:dPt>
            <c:idx val="0"/>
            <c:bubble3D val="0"/>
            <c:spPr>
              <a:solidFill>
                <a:srgbClr val="046664"/>
              </a:solidFill>
              <a:ln>
                <a:noFill/>
              </a:ln>
              <a:effectLst/>
            </c:spPr>
            <c:extLst>
              <c:ext xmlns:c16="http://schemas.microsoft.com/office/drawing/2014/chart" uri="{C3380CC4-5D6E-409C-BE32-E72D297353CC}">
                <c16:uniqueId val="{00000001-861A-4346-8860-D0205538BDBB}"/>
              </c:ext>
            </c:extLst>
          </c:dPt>
          <c:dPt>
            <c:idx val="1"/>
            <c:bubble3D val="0"/>
            <c:spPr>
              <a:solidFill>
                <a:srgbClr val="CC0204"/>
              </a:solidFill>
              <a:ln>
                <a:noFill/>
              </a:ln>
              <a:effectLst/>
            </c:spPr>
            <c:extLst>
              <c:ext xmlns:c16="http://schemas.microsoft.com/office/drawing/2014/chart" uri="{C3380CC4-5D6E-409C-BE32-E72D297353CC}">
                <c16:uniqueId val="{00000003-861A-4346-8860-D0205538BDBB}"/>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(Aggregate!$O$8,Aggregate!$U$8)</c:f>
              <c:numCache>
                <c:formatCode>General</c:formatCode>
                <c:ptCount val="2"/>
                <c:pt idx="0">
                  <c:v>0</c:v>
                </c:pt>
                <c:pt idx="1">
                  <c:v>5</c:v>
                </c:pt>
              </c:numCache>
            </c:numRef>
          </c:val>
          <c:extLst xmlns:c15="http://schemas.microsoft.com/office/drawing/2012/chart">
            <c:ext xmlns:c16="http://schemas.microsoft.com/office/drawing/2014/chart" uri="{C3380CC4-5D6E-409C-BE32-E72D297353CC}">
              <c16:uniqueId val="{00000004-861A-4346-8860-D0205538BDBB}"/>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5"/>
          <c:order val="0"/>
          <c:tx>
            <c:strRef>
              <c:f>Aggregate!$J$8</c:f>
              <c:strCache>
                <c:ptCount val="1"/>
                <c:pt idx="0">
                  <c:v>ISC</c:v>
                </c:pt>
              </c:strCache>
            </c:strRef>
          </c:tx>
          <c:dPt>
            <c:idx val="0"/>
            <c:bubble3D val="0"/>
            <c:spPr>
              <a:solidFill>
                <a:srgbClr val="046664"/>
              </a:solidFill>
              <a:ln>
                <a:noFill/>
              </a:ln>
              <a:effectLst/>
            </c:spPr>
            <c:extLst>
              <c:ext xmlns:c16="http://schemas.microsoft.com/office/drawing/2014/chart" uri="{C3380CC4-5D6E-409C-BE32-E72D297353CC}">
                <c16:uniqueId val="{00000001-2185-0A48-B0CE-CB826D5ADD60}"/>
              </c:ext>
            </c:extLst>
          </c:dPt>
          <c:dPt>
            <c:idx val="1"/>
            <c:bubble3D val="0"/>
            <c:spPr>
              <a:solidFill>
                <a:srgbClr val="CC0204"/>
              </a:solidFill>
              <a:ln>
                <a:noFill/>
              </a:ln>
              <a:effectLst/>
            </c:spPr>
            <c:extLst>
              <c:ext xmlns:c16="http://schemas.microsoft.com/office/drawing/2014/chart" uri="{C3380CC4-5D6E-409C-BE32-E72D297353CC}">
                <c16:uniqueId val="{00000003-2185-0A48-B0CE-CB826D5ADD60}"/>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(Aggregate!$M$8,Aggregate!$S$8)</c:f>
              <c:numCache>
                <c:formatCode>General</c:formatCode>
                <c:ptCount val="2"/>
                <c:pt idx="0">
                  <c:v>0</c:v>
                </c:pt>
                <c:pt idx="1">
                  <c:v>5</c:v>
                </c:pt>
              </c:numCache>
            </c:numRef>
          </c:val>
          <c:extLst xmlns:c15="http://schemas.microsoft.com/office/drawing/2012/chart">
            <c:ext xmlns:c16="http://schemas.microsoft.com/office/drawing/2014/chart" uri="{C3380CC4-5D6E-409C-BE32-E72D297353CC}">
              <c16:uniqueId val="{00000004-2185-0A48-B0CE-CB826D5ADD60}"/>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5"/>
          <c:order val="0"/>
          <c:tx>
            <c:strRef>
              <c:f>Aggregate!$J$8</c:f>
              <c:strCache>
                <c:ptCount val="1"/>
                <c:pt idx="0">
                  <c:v>ISC</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0554-2543-BFD8-8BB41FEEF0BE}"/>
              </c:ext>
            </c:extLst>
          </c:dPt>
          <c:dPt>
            <c:idx val="1"/>
            <c:bubble3D val="0"/>
            <c:spPr>
              <a:solidFill>
                <a:srgbClr val="CC0204"/>
              </a:solidFill>
              <a:ln>
                <a:noFill/>
              </a:ln>
              <a:effectLst/>
            </c:spPr>
            <c:extLst>
              <c:ext xmlns:c16="http://schemas.microsoft.com/office/drawing/2014/chart" uri="{C3380CC4-5D6E-409C-BE32-E72D297353CC}">
                <c16:uniqueId val="{00000003-0554-2543-BFD8-8BB41FEEF0BE}"/>
              </c:ext>
            </c:extLst>
          </c:dPt>
          <c:dPt>
            <c:idx val="2"/>
            <c:bubble3D val="0"/>
            <c:spPr>
              <a:solidFill>
                <a:schemeClr val="accent3"/>
              </a:solidFill>
              <a:ln>
                <a:noFill/>
              </a:ln>
              <a:effectLst/>
            </c:spPr>
            <c:extLst>
              <c:ext xmlns:c16="http://schemas.microsoft.com/office/drawing/2014/chart" uri="{C3380CC4-5D6E-409C-BE32-E72D297353CC}">
                <c16:uniqueId val="{00000005-0554-2543-BFD8-8BB41FEEF0BE}"/>
              </c:ext>
            </c:extLst>
          </c:dPt>
          <c:dPt>
            <c:idx val="3"/>
            <c:bubble3D val="0"/>
            <c:spPr>
              <a:solidFill>
                <a:srgbClr val="CC0204"/>
              </a:solidFill>
              <a:ln>
                <a:noFill/>
              </a:ln>
              <a:effectLst/>
            </c:spPr>
            <c:extLst>
              <c:ext xmlns:c16="http://schemas.microsoft.com/office/drawing/2014/chart" uri="{C3380CC4-5D6E-409C-BE32-E72D297353CC}">
                <c16:uniqueId val="{00000007-0554-2543-BFD8-8BB41FEEF0BE}"/>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(Aggregate!$K$8,Aggregate!$Q$8)</c:f>
              <c:numCache>
                <c:formatCode>General</c:formatCode>
                <c:ptCount val="2"/>
                <c:pt idx="0">
                  <c:v>0</c:v>
                </c:pt>
                <c:pt idx="1">
                  <c:v>2</c:v>
                </c:pt>
              </c:numCache>
            </c:numRef>
          </c:val>
          <c:extLst xmlns:c15="http://schemas.microsoft.com/office/drawing/2012/chart">
            <c:ext xmlns:c16="http://schemas.microsoft.com/office/drawing/2014/chart" uri="{C3380CC4-5D6E-409C-BE32-E72D297353CC}">
              <c16:uniqueId val="{00000008-0554-2543-BFD8-8BB41FEEF0BE}"/>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8"/>
          <c:order val="0"/>
          <c:tx>
            <c:strRef>
              <c:f>Aggregate!$J$11</c:f>
              <c:strCache>
                <c:ptCount val="1"/>
                <c:pt idx="0">
                  <c:v>TVM</c:v>
                </c:pt>
              </c:strCache>
            </c:strRef>
          </c:tx>
          <c:dPt>
            <c:idx val="0"/>
            <c:bubble3D val="0"/>
            <c:spPr>
              <a:solidFill>
                <a:srgbClr val="046664"/>
              </a:solidFill>
              <a:ln>
                <a:noFill/>
              </a:ln>
              <a:effectLst/>
            </c:spPr>
            <c:extLst>
              <c:ext xmlns:c16="http://schemas.microsoft.com/office/drawing/2014/chart" uri="{C3380CC4-5D6E-409C-BE32-E72D297353CC}">
                <c16:uniqueId val="{00000001-DFC0-3144-8EE5-4455CBB686FD}"/>
              </c:ext>
            </c:extLst>
          </c:dPt>
          <c:dPt>
            <c:idx val="1"/>
            <c:bubble3D val="0"/>
            <c:spPr>
              <a:solidFill>
                <a:srgbClr val="CC0204"/>
              </a:solidFill>
              <a:ln>
                <a:noFill/>
              </a:ln>
              <a:effectLst/>
            </c:spPr>
            <c:extLst>
              <c:ext xmlns:c16="http://schemas.microsoft.com/office/drawing/2014/chart" uri="{C3380CC4-5D6E-409C-BE32-E72D297353CC}">
                <c16:uniqueId val="{00000003-DFC0-3144-8EE5-4455CBB686FD}"/>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(Aggregate!$O$11,Aggregate!$U$11)</c:f>
              <c:numCache>
                <c:formatCode>General</c:formatCode>
                <c:ptCount val="2"/>
                <c:pt idx="0">
                  <c:v>0</c:v>
                </c:pt>
                <c:pt idx="1">
                  <c:v>9</c:v>
                </c:pt>
              </c:numCache>
            </c:numRef>
          </c:val>
          <c:extLst xmlns:c15="http://schemas.microsoft.com/office/drawing/2012/chart">
            <c:ext xmlns:c16="http://schemas.microsoft.com/office/drawing/2014/chart" uri="{C3380CC4-5D6E-409C-BE32-E72D297353CC}">
              <c16:uniqueId val="{00000004-DFC0-3144-8EE5-4455CBB686FD}"/>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8"/>
          <c:order val="0"/>
          <c:tx>
            <c:strRef>
              <c:f>Aggregate!$J$11</c:f>
              <c:strCache>
                <c:ptCount val="1"/>
                <c:pt idx="0">
                  <c:v>TVM</c:v>
                </c:pt>
              </c:strCache>
            </c:strRef>
          </c:tx>
          <c:dPt>
            <c:idx val="0"/>
            <c:bubble3D val="0"/>
            <c:spPr>
              <a:solidFill>
                <a:srgbClr val="046664"/>
              </a:solidFill>
              <a:ln>
                <a:noFill/>
              </a:ln>
              <a:effectLst/>
            </c:spPr>
            <c:extLst>
              <c:ext xmlns:c16="http://schemas.microsoft.com/office/drawing/2014/chart" uri="{C3380CC4-5D6E-409C-BE32-E72D297353CC}">
                <c16:uniqueId val="{00000001-FFCD-B149-BD6C-86F9410F8028}"/>
              </c:ext>
            </c:extLst>
          </c:dPt>
          <c:dPt>
            <c:idx val="1"/>
            <c:bubble3D val="0"/>
            <c:spPr>
              <a:solidFill>
                <a:srgbClr val="CC0204"/>
              </a:solidFill>
              <a:ln>
                <a:noFill/>
              </a:ln>
              <a:effectLst/>
            </c:spPr>
            <c:extLst>
              <c:ext xmlns:c16="http://schemas.microsoft.com/office/drawing/2014/chart" uri="{C3380CC4-5D6E-409C-BE32-E72D297353CC}">
                <c16:uniqueId val="{00000003-FFCD-B149-BD6C-86F9410F8028}"/>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(Aggregate!$M$11,Aggregate!$S$11)</c:f>
              <c:numCache>
                <c:formatCode>General</c:formatCode>
                <c:ptCount val="2"/>
                <c:pt idx="0">
                  <c:v>0</c:v>
                </c:pt>
                <c:pt idx="1">
                  <c:v>9</c:v>
                </c:pt>
              </c:numCache>
            </c:numRef>
          </c:val>
          <c:extLst xmlns:c15="http://schemas.microsoft.com/office/drawing/2012/chart">
            <c:ext xmlns:c16="http://schemas.microsoft.com/office/drawing/2014/chart" uri="{C3380CC4-5D6E-409C-BE32-E72D297353CC}">
              <c16:uniqueId val="{00000004-FFCD-B149-BD6C-86F9410F8028}"/>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8"/>
          <c:order val="0"/>
          <c:tx>
            <c:strRef>
              <c:f>Aggregate!$J$11</c:f>
              <c:strCache>
                <c:ptCount val="1"/>
                <c:pt idx="0">
                  <c:v>TVM</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2E9E-F44A-8BA2-FCFF2682C6DF}"/>
              </c:ext>
            </c:extLst>
          </c:dPt>
          <c:dPt>
            <c:idx val="1"/>
            <c:bubble3D val="0"/>
            <c:spPr>
              <a:solidFill>
                <a:srgbClr val="CC0204"/>
              </a:solidFill>
              <a:ln>
                <a:noFill/>
              </a:ln>
              <a:effectLst/>
            </c:spPr>
            <c:extLst>
              <c:ext xmlns:c16="http://schemas.microsoft.com/office/drawing/2014/chart" uri="{C3380CC4-5D6E-409C-BE32-E72D297353CC}">
                <c16:uniqueId val="{00000003-2E9E-F44A-8BA2-FCFF2682C6DF}"/>
              </c:ext>
            </c:extLst>
          </c:dPt>
          <c:dPt>
            <c:idx val="2"/>
            <c:bubble3D val="0"/>
            <c:spPr>
              <a:solidFill>
                <a:schemeClr val="accent3"/>
              </a:solidFill>
              <a:ln>
                <a:noFill/>
              </a:ln>
              <a:effectLst/>
            </c:spPr>
            <c:extLst>
              <c:ext xmlns:c16="http://schemas.microsoft.com/office/drawing/2014/chart" uri="{C3380CC4-5D6E-409C-BE32-E72D297353CC}">
                <c16:uniqueId val="{00000005-2E9E-F44A-8BA2-FCFF2682C6DF}"/>
              </c:ext>
            </c:extLst>
          </c:dPt>
          <c:dPt>
            <c:idx val="3"/>
            <c:bubble3D val="0"/>
            <c:spPr>
              <a:solidFill>
                <a:srgbClr val="CC0204"/>
              </a:solidFill>
              <a:ln>
                <a:noFill/>
              </a:ln>
              <a:effectLst/>
            </c:spPr>
            <c:extLst>
              <c:ext xmlns:c16="http://schemas.microsoft.com/office/drawing/2014/chart" uri="{C3380CC4-5D6E-409C-BE32-E72D297353CC}">
                <c16:uniqueId val="{00000007-2E9E-F44A-8BA2-FCFF2682C6DF}"/>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(Aggregate!$K$11,Aggregate!$Q$11)</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8-2E9E-F44A-8BA2-FCFF2682C6DF}"/>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7"/>
          <c:order val="0"/>
          <c:tx>
            <c:strRef>
              <c:f>Aggregate!$J$10</c:f>
              <c:strCache>
                <c:ptCount val="1"/>
                <c:pt idx="0">
                  <c:v>SA</c:v>
                </c:pt>
              </c:strCache>
            </c:strRef>
          </c:tx>
          <c:dPt>
            <c:idx val="0"/>
            <c:bubble3D val="0"/>
            <c:spPr>
              <a:solidFill>
                <a:srgbClr val="046664"/>
              </a:solidFill>
              <a:ln>
                <a:noFill/>
              </a:ln>
              <a:effectLst/>
            </c:spPr>
            <c:extLst>
              <c:ext xmlns:c16="http://schemas.microsoft.com/office/drawing/2014/chart" uri="{C3380CC4-5D6E-409C-BE32-E72D297353CC}">
                <c16:uniqueId val="{00000001-7A5C-0642-9DAC-642249FD1FD5}"/>
              </c:ext>
            </c:extLst>
          </c:dPt>
          <c:dPt>
            <c:idx val="1"/>
            <c:bubble3D val="0"/>
            <c:spPr>
              <a:solidFill>
                <a:srgbClr val="CC0204"/>
              </a:solidFill>
              <a:ln>
                <a:noFill/>
              </a:ln>
              <a:effectLst/>
            </c:spPr>
            <c:extLst>
              <c:ext xmlns:c16="http://schemas.microsoft.com/office/drawing/2014/chart" uri="{C3380CC4-5D6E-409C-BE32-E72D297353CC}">
                <c16:uniqueId val="{00000003-7A5C-0642-9DAC-642249FD1FD5}"/>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(Aggregate!$O$10,Aggregate!$U$10)</c:f>
              <c:numCache>
                <c:formatCode>General</c:formatCode>
                <c:ptCount val="2"/>
                <c:pt idx="0">
                  <c:v>0</c:v>
                </c:pt>
                <c:pt idx="1">
                  <c:v>10</c:v>
                </c:pt>
              </c:numCache>
            </c:numRef>
          </c:val>
          <c:extLst xmlns:c15="http://schemas.microsoft.com/office/drawing/2012/chart">
            <c:ext xmlns:c16="http://schemas.microsoft.com/office/drawing/2014/chart" uri="{C3380CC4-5D6E-409C-BE32-E72D297353CC}">
              <c16:uniqueId val="{00000004-7A5C-0642-9DAC-642249FD1FD5}"/>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6"/>
          <c:order val="0"/>
          <c:tx>
            <c:strRef>
              <c:f>Aggregate!$J$9</c:f>
              <c:strCache>
                <c:ptCount val="1"/>
                <c:pt idx="0">
                  <c:v>RM</c:v>
                </c:pt>
              </c:strCache>
            </c:strRef>
          </c:tx>
          <c:spPr>
            <a:solidFill>
              <a:srgbClr val="046664"/>
            </a:solidFill>
          </c:spPr>
          <c:dPt>
            <c:idx val="0"/>
            <c:bubble3D val="0"/>
            <c:spPr>
              <a:solidFill>
                <a:srgbClr val="046664"/>
              </a:solidFill>
              <a:ln>
                <a:noFill/>
              </a:ln>
              <a:effectLst/>
            </c:spPr>
            <c:extLst>
              <c:ext xmlns:c16="http://schemas.microsoft.com/office/drawing/2014/chart" uri="{C3380CC4-5D6E-409C-BE32-E72D297353CC}">
                <c16:uniqueId val="{00000001-32FE-F74D-82EA-612B4E75E974}"/>
              </c:ext>
            </c:extLst>
          </c:dPt>
          <c:dPt>
            <c:idx val="1"/>
            <c:bubble3D val="0"/>
            <c:spPr>
              <a:solidFill>
                <a:srgbClr val="CC0204"/>
              </a:solidFill>
              <a:ln>
                <a:noFill/>
              </a:ln>
              <a:effectLst/>
            </c:spPr>
            <c:extLst>
              <c:ext xmlns:c16="http://schemas.microsoft.com/office/drawing/2014/chart" uri="{C3380CC4-5D6E-409C-BE32-E72D297353CC}">
                <c16:uniqueId val="{00000003-32FE-F74D-82EA-612B4E75E974}"/>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(Aggregate!$M$9,Aggregate!$S$9)</c:f>
              <c:numCache>
                <c:formatCode>General</c:formatCode>
                <c:ptCount val="2"/>
                <c:pt idx="0">
                  <c:v>0</c:v>
                </c:pt>
                <c:pt idx="1">
                  <c:v>7</c:v>
                </c:pt>
              </c:numCache>
            </c:numRef>
          </c:val>
          <c:extLst>
            <c:ext xmlns:c16="http://schemas.microsoft.com/office/drawing/2014/chart" uri="{C3380CC4-5D6E-409C-BE32-E72D297353CC}">
              <c16:uniqueId val="{00000004-32FE-F74D-82EA-612B4E75E974}"/>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7"/>
          <c:order val="0"/>
          <c:tx>
            <c:strRef>
              <c:f>Aggregate!$J$10</c:f>
              <c:strCache>
                <c:ptCount val="1"/>
                <c:pt idx="0">
                  <c:v>SA</c:v>
                </c:pt>
              </c:strCache>
            </c:strRef>
          </c:tx>
          <c:dPt>
            <c:idx val="0"/>
            <c:bubble3D val="0"/>
            <c:spPr>
              <a:solidFill>
                <a:srgbClr val="046664"/>
              </a:solidFill>
              <a:ln>
                <a:noFill/>
              </a:ln>
              <a:effectLst/>
            </c:spPr>
            <c:extLst>
              <c:ext xmlns:c16="http://schemas.microsoft.com/office/drawing/2014/chart" uri="{C3380CC4-5D6E-409C-BE32-E72D297353CC}">
                <c16:uniqueId val="{00000001-16E8-1748-9FE7-03371B02E5E7}"/>
              </c:ext>
            </c:extLst>
          </c:dPt>
          <c:dPt>
            <c:idx val="1"/>
            <c:bubble3D val="0"/>
            <c:spPr>
              <a:solidFill>
                <a:srgbClr val="CC0204"/>
              </a:solidFill>
              <a:ln>
                <a:noFill/>
              </a:ln>
              <a:effectLst/>
            </c:spPr>
            <c:extLst>
              <c:ext xmlns:c16="http://schemas.microsoft.com/office/drawing/2014/chart" uri="{C3380CC4-5D6E-409C-BE32-E72D297353CC}">
                <c16:uniqueId val="{00000003-16E8-1748-9FE7-03371B02E5E7}"/>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(Aggregate!$M$10,Aggregate!$S$10)</c:f>
              <c:numCache>
                <c:formatCode>General</c:formatCode>
                <c:ptCount val="2"/>
                <c:pt idx="0">
                  <c:v>0</c:v>
                </c:pt>
                <c:pt idx="1">
                  <c:v>9</c:v>
                </c:pt>
              </c:numCache>
            </c:numRef>
          </c:val>
          <c:extLst xmlns:c15="http://schemas.microsoft.com/office/drawing/2012/chart">
            <c:ext xmlns:c16="http://schemas.microsoft.com/office/drawing/2014/chart" uri="{C3380CC4-5D6E-409C-BE32-E72D297353CC}">
              <c16:uniqueId val="{00000004-16E8-1748-9FE7-03371B02E5E7}"/>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7"/>
          <c:order val="0"/>
          <c:tx>
            <c:strRef>
              <c:f>Aggregate!$J$10</c:f>
              <c:strCache>
                <c:ptCount val="1"/>
                <c:pt idx="0">
                  <c:v>SA</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1688-E648-B967-FDF3F0F93FE6}"/>
              </c:ext>
            </c:extLst>
          </c:dPt>
          <c:dPt>
            <c:idx val="1"/>
            <c:bubble3D val="0"/>
            <c:spPr>
              <a:solidFill>
                <a:srgbClr val="CC0204"/>
              </a:solidFill>
              <a:ln>
                <a:noFill/>
              </a:ln>
              <a:effectLst/>
            </c:spPr>
            <c:extLst>
              <c:ext xmlns:c16="http://schemas.microsoft.com/office/drawing/2014/chart" uri="{C3380CC4-5D6E-409C-BE32-E72D297353CC}">
                <c16:uniqueId val="{00000003-1688-E648-B967-FDF3F0F93FE6}"/>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(Aggregate!$K$10,Aggregate!$Q$10)</c:f>
              <c:numCache>
                <c:formatCode>General</c:formatCode>
                <c:ptCount val="2"/>
                <c:pt idx="0">
                  <c:v>0</c:v>
                </c:pt>
                <c:pt idx="1">
                  <c:v>3</c:v>
                </c:pt>
              </c:numCache>
            </c:numRef>
          </c:val>
          <c:extLst xmlns:c15="http://schemas.microsoft.com/office/drawing/2012/chart">
            <c:ext xmlns:c16="http://schemas.microsoft.com/office/drawing/2014/chart" uri="{C3380CC4-5D6E-409C-BE32-E72D297353CC}">
              <c16:uniqueId val="{00000004-1688-E648-B967-FDF3F0F93FE6}"/>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4"/>
          <c:order val="0"/>
          <c:tx>
            <c:strRef>
              <c:f>Aggregate!$J$7</c:f>
              <c:strCache>
                <c:ptCount val="1"/>
                <c:pt idx="0">
                  <c:v>IR</c:v>
                </c:pt>
              </c:strCache>
            </c:strRef>
          </c:tx>
          <c:spPr>
            <a:solidFill>
              <a:srgbClr val="046664"/>
            </a:solidFill>
          </c:spPr>
          <c:dPt>
            <c:idx val="0"/>
            <c:bubble3D val="0"/>
            <c:spPr>
              <a:solidFill>
                <a:srgbClr val="046664"/>
              </a:solidFill>
              <a:ln>
                <a:noFill/>
              </a:ln>
              <a:effectLst/>
            </c:spPr>
            <c:extLst>
              <c:ext xmlns:c16="http://schemas.microsoft.com/office/drawing/2014/chart" uri="{C3380CC4-5D6E-409C-BE32-E72D297353CC}">
                <c16:uniqueId val="{00000001-B423-2045-8DA4-9EE8A3253789}"/>
              </c:ext>
            </c:extLst>
          </c:dPt>
          <c:dPt>
            <c:idx val="1"/>
            <c:bubble3D val="0"/>
            <c:spPr>
              <a:solidFill>
                <a:srgbClr val="CC0204"/>
              </a:solidFill>
              <a:ln>
                <a:noFill/>
              </a:ln>
              <a:effectLst/>
            </c:spPr>
            <c:extLst>
              <c:ext xmlns:c16="http://schemas.microsoft.com/office/drawing/2014/chart" uri="{C3380CC4-5D6E-409C-BE32-E72D297353CC}">
                <c16:uniqueId val="{00000003-B423-2045-8DA4-9EE8A3253789}"/>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(Aggregate!$O$7,Aggregate!$U$7)</c:f>
              <c:numCache>
                <c:formatCode>General</c:formatCode>
                <c:ptCount val="2"/>
                <c:pt idx="0">
                  <c:v>0</c:v>
                </c:pt>
                <c:pt idx="1">
                  <c:v>19</c:v>
                </c:pt>
              </c:numCache>
            </c:numRef>
          </c:val>
          <c:extLst xmlns:c15="http://schemas.microsoft.com/office/drawing/2012/chart">
            <c:ext xmlns:c16="http://schemas.microsoft.com/office/drawing/2014/chart" uri="{C3380CC4-5D6E-409C-BE32-E72D297353CC}">
              <c16:uniqueId val="{00000004-B423-2045-8DA4-9EE8A3253789}"/>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4"/>
          <c:order val="0"/>
          <c:tx>
            <c:strRef>
              <c:f>Aggregate!$J$7</c:f>
              <c:strCache>
                <c:ptCount val="1"/>
                <c:pt idx="0">
                  <c:v>IR</c:v>
                </c:pt>
              </c:strCache>
            </c:strRef>
          </c:tx>
          <c:dPt>
            <c:idx val="0"/>
            <c:bubble3D val="0"/>
            <c:spPr>
              <a:solidFill>
                <a:srgbClr val="046664"/>
              </a:solidFill>
              <a:ln>
                <a:noFill/>
              </a:ln>
              <a:effectLst/>
            </c:spPr>
            <c:extLst>
              <c:ext xmlns:c16="http://schemas.microsoft.com/office/drawing/2014/chart" uri="{C3380CC4-5D6E-409C-BE32-E72D297353CC}">
                <c16:uniqueId val="{00000001-4EF6-5247-9469-5575F6F7E81B}"/>
              </c:ext>
            </c:extLst>
          </c:dPt>
          <c:dPt>
            <c:idx val="1"/>
            <c:bubble3D val="0"/>
            <c:spPr>
              <a:solidFill>
                <a:srgbClr val="CC0204"/>
              </a:solidFill>
              <a:ln>
                <a:noFill/>
              </a:ln>
              <a:effectLst/>
            </c:spPr>
            <c:extLst>
              <c:ext xmlns:c16="http://schemas.microsoft.com/office/drawing/2014/chart" uri="{C3380CC4-5D6E-409C-BE32-E72D297353CC}">
                <c16:uniqueId val="{00000003-4EF6-5247-9469-5575F6F7E81B}"/>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(Aggregate!$M$7,Aggregate!$S$7)</c:f>
              <c:numCache>
                <c:formatCode>General</c:formatCode>
                <c:ptCount val="2"/>
                <c:pt idx="0">
                  <c:v>0</c:v>
                </c:pt>
                <c:pt idx="1">
                  <c:v>12</c:v>
                </c:pt>
              </c:numCache>
            </c:numRef>
          </c:val>
          <c:extLst xmlns:c15="http://schemas.microsoft.com/office/drawing/2012/chart">
            <c:ext xmlns:c16="http://schemas.microsoft.com/office/drawing/2014/chart" uri="{C3380CC4-5D6E-409C-BE32-E72D297353CC}">
              <c16:uniqueId val="{00000004-4EF6-5247-9469-5575F6F7E81B}"/>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4"/>
          <c:order val="0"/>
          <c:tx>
            <c:strRef>
              <c:f>Aggregate!$J$7</c:f>
              <c:strCache>
                <c:ptCount val="1"/>
                <c:pt idx="0">
                  <c:v>IR</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B26E-E24E-8802-BF7763C30EA9}"/>
              </c:ext>
            </c:extLst>
          </c:dPt>
          <c:dPt>
            <c:idx val="1"/>
            <c:bubble3D val="0"/>
            <c:spPr>
              <a:solidFill>
                <a:srgbClr val="CC0204"/>
              </a:solidFill>
              <a:ln>
                <a:noFill/>
              </a:ln>
              <a:effectLst/>
            </c:spPr>
            <c:extLst>
              <c:ext xmlns:c16="http://schemas.microsoft.com/office/drawing/2014/chart" uri="{C3380CC4-5D6E-409C-BE32-E72D297353CC}">
                <c16:uniqueId val="{00000003-B26E-E24E-8802-BF7763C30EA9}"/>
              </c:ext>
            </c:extLst>
          </c:dPt>
          <c:dPt>
            <c:idx val="2"/>
            <c:bubble3D val="0"/>
            <c:spPr>
              <a:solidFill>
                <a:schemeClr val="accent3"/>
              </a:solidFill>
              <a:ln>
                <a:noFill/>
              </a:ln>
              <a:effectLst/>
            </c:spPr>
            <c:extLst>
              <c:ext xmlns:c16="http://schemas.microsoft.com/office/drawing/2014/chart" uri="{C3380CC4-5D6E-409C-BE32-E72D297353CC}">
                <c16:uniqueId val="{00000005-B26E-E24E-8802-BF7763C30EA9}"/>
              </c:ext>
            </c:extLst>
          </c:dPt>
          <c:dPt>
            <c:idx val="3"/>
            <c:bubble3D val="0"/>
            <c:spPr>
              <a:solidFill>
                <a:srgbClr val="CC0204"/>
              </a:solidFill>
              <a:ln>
                <a:noFill/>
              </a:ln>
              <a:effectLst/>
            </c:spPr>
            <c:extLst>
              <c:ext xmlns:c16="http://schemas.microsoft.com/office/drawing/2014/chart" uri="{C3380CC4-5D6E-409C-BE32-E72D297353CC}">
                <c16:uniqueId val="{00000007-B26E-E24E-8802-BF7763C30EA9}"/>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(Aggregate!$K$7,Aggregate!$Q$7)</c:f>
              <c:numCache>
                <c:formatCode>General</c:formatCode>
                <c:ptCount val="2"/>
                <c:pt idx="0">
                  <c:v>0</c:v>
                </c:pt>
                <c:pt idx="1">
                  <c:v>12</c:v>
                </c:pt>
              </c:numCache>
            </c:numRef>
          </c:val>
          <c:extLst xmlns:c15="http://schemas.microsoft.com/office/drawing/2012/chart">
            <c:ext xmlns:c16="http://schemas.microsoft.com/office/drawing/2014/chart" uri="{C3380CC4-5D6E-409C-BE32-E72D297353CC}">
              <c16:uniqueId val="{00000008-B26E-E24E-8802-BF7763C30EA9}"/>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2"/>
          <c:order val="0"/>
          <c:tx>
            <c:strRef>
              <c:f>Aggregate!$J$5</c:f>
              <c:strCache>
                <c:ptCount val="1"/>
                <c:pt idx="0">
                  <c:v>EDM</c:v>
                </c:pt>
              </c:strCache>
            </c:strRef>
          </c:tx>
          <c:dPt>
            <c:idx val="0"/>
            <c:bubble3D val="0"/>
            <c:spPr>
              <a:solidFill>
                <a:srgbClr val="046664"/>
              </a:solidFill>
              <a:ln>
                <a:noFill/>
              </a:ln>
              <a:effectLst/>
            </c:spPr>
            <c:extLst>
              <c:ext xmlns:c16="http://schemas.microsoft.com/office/drawing/2014/chart" uri="{C3380CC4-5D6E-409C-BE32-E72D297353CC}">
                <c16:uniqueId val="{00000001-5560-4B44-9DF4-6E3613D48BD7}"/>
              </c:ext>
            </c:extLst>
          </c:dPt>
          <c:dPt>
            <c:idx val="1"/>
            <c:bubble3D val="0"/>
            <c:spPr>
              <a:solidFill>
                <a:srgbClr val="CC0204"/>
              </a:solidFill>
              <a:ln>
                <a:noFill/>
              </a:ln>
              <a:effectLst/>
            </c:spPr>
            <c:extLst>
              <c:ext xmlns:c16="http://schemas.microsoft.com/office/drawing/2014/chart" uri="{C3380CC4-5D6E-409C-BE32-E72D297353CC}">
                <c16:uniqueId val="{00000003-5560-4B44-9DF4-6E3613D48BD7}"/>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(Aggregate!$O$5,Aggregate!$U$5)</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4-5560-4B44-9DF4-6E3613D48BD7}"/>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2"/>
          <c:order val="0"/>
          <c:tx>
            <c:strRef>
              <c:f>Aggregate!$J$5</c:f>
              <c:strCache>
                <c:ptCount val="1"/>
                <c:pt idx="0">
                  <c:v>EDM</c:v>
                </c:pt>
              </c:strCache>
            </c:strRef>
          </c:tx>
          <c:dPt>
            <c:idx val="0"/>
            <c:bubble3D val="0"/>
            <c:spPr>
              <a:solidFill>
                <a:srgbClr val="046664"/>
              </a:solidFill>
              <a:ln>
                <a:noFill/>
              </a:ln>
              <a:effectLst/>
            </c:spPr>
            <c:extLst>
              <c:ext xmlns:c16="http://schemas.microsoft.com/office/drawing/2014/chart" uri="{C3380CC4-5D6E-409C-BE32-E72D297353CC}">
                <c16:uniqueId val="{00000001-4475-0E43-AE7B-7DCC5C1A6ADC}"/>
              </c:ext>
            </c:extLst>
          </c:dPt>
          <c:dPt>
            <c:idx val="1"/>
            <c:bubble3D val="0"/>
            <c:spPr>
              <a:solidFill>
                <a:srgbClr val="CC0204"/>
              </a:solidFill>
              <a:ln>
                <a:noFill/>
              </a:ln>
              <a:effectLst/>
            </c:spPr>
            <c:extLst>
              <c:ext xmlns:c16="http://schemas.microsoft.com/office/drawing/2014/chart" uri="{C3380CC4-5D6E-409C-BE32-E72D297353CC}">
                <c16:uniqueId val="{00000003-4475-0E43-AE7B-7DCC5C1A6ADC}"/>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(Aggregate!$M$5,Aggregate!$S$5)</c:f>
              <c:numCache>
                <c:formatCode>General</c:formatCode>
                <c:ptCount val="2"/>
                <c:pt idx="0">
                  <c:v>0</c:v>
                </c:pt>
                <c:pt idx="1">
                  <c:v>11</c:v>
                </c:pt>
              </c:numCache>
            </c:numRef>
          </c:val>
          <c:extLst xmlns:c15="http://schemas.microsoft.com/office/drawing/2012/chart">
            <c:ext xmlns:c16="http://schemas.microsoft.com/office/drawing/2014/chart" uri="{C3380CC4-5D6E-409C-BE32-E72D297353CC}">
              <c16:uniqueId val="{00000004-4475-0E43-AE7B-7DCC5C1A6ADC}"/>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2"/>
          <c:order val="0"/>
          <c:tx>
            <c:strRef>
              <c:f>Aggregate!$J$5</c:f>
              <c:strCache>
                <c:ptCount val="1"/>
                <c:pt idx="0">
                  <c:v>EDM</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010B-CE46-A59B-BEF80CF71336}"/>
              </c:ext>
            </c:extLst>
          </c:dPt>
          <c:dPt>
            <c:idx val="1"/>
            <c:bubble3D val="0"/>
            <c:spPr>
              <a:solidFill>
                <a:srgbClr val="CC0204"/>
              </a:solidFill>
              <a:ln>
                <a:noFill/>
              </a:ln>
              <a:effectLst/>
            </c:spPr>
            <c:extLst>
              <c:ext xmlns:c16="http://schemas.microsoft.com/office/drawing/2014/chart" uri="{C3380CC4-5D6E-409C-BE32-E72D297353CC}">
                <c16:uniqueId val="{00000003-010B-CE46-A59B-BEF80CF71336}"/>
              </c:ext>
            </c:extLst>
          </c:dPt>
          <c:dPt>
            <c:idx val="2"/>
            <c:bubble3D val="0"/>
            <c:spPr>
              <a:solidFill>
                <a:schemeClr val="accent3"/>
              </a:solidFill>
              <a:ln>
                <a:noFill/>
              </a:ln>
              <a:effectLst/>
            </c:spPr>
            <c:extLst>
              <c:ext xmlns:c16="http://schemas.microsoft.com/office/drawing/2014/chart" uri="{C3380CC4-5D6E-409C-BE32-E72D297353CC}">
                <c16:uniqueId val="{00000005-010B-CE46-A59B-BEF80CF71336}"/>
              </c:ext>
            </c:extLst>
          </c:dPt>
          <c:dPt>
            <c:idx val="3"/>
            <c:bubble3D val="0"/>
            <c:spPr>
              <a:solidFill>
                <a:srgbClr val="CC0204"/>
              </a:solidFill>
              <a:ln>
                <a:noFill/>
              </a:ln>
              <a:effectLst/>
            </c:spPr>
            <c:extLst>
              <c:ext xmlns:c16="http://schemas.microsoft.com/office/drawing/2014/chart" uri="{C3380CC4-5D6E-409C-BE32-E72D297353CC}">
                <c16:uniqueId val="{00000007-010B-CE46-A59B-BEF80CF71336}"/>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(Aggregate!$K$5,Aggregate!$Q$5)</c:f>
              <c:numCache>
                <c:formatCode>General</c:formatCode>
                <c:ptCount val="2"/>
                <c:pt idx="0">
                  <c:v>0</c:v>
                </c:pt>
                <c:pt idx="1">
                  <c:v>4</c:v>
                </c:pt>
              </c:numCache>
            </c:numRef>
          </c:val>
          <c:extLst xmlns:c15="http://schemas.microsoft.com/office/drawing/2012/chart">
            <c:ext xmlns:c16="http://schemas.microsoft.com/office/drawing/2014/chart" uri="{C3380CC4-5D6E-409C-BE32-E72D297353CC}">
              <c16:uniqueId val="{00000008-010B-CE46-A59B-BEF80CF71336}"/>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9"/>
          <c:order val="0"/>
          <c:tx>
            <c:strRef>
              <c:f>Aggregate!$J$12</c:f>
              <c:strCache>
                <c:ptCount val="1"/>
                <c:pt idx="0">
                  <c:v>WM</c:v>
                </c:pt>
              </c:strCache>
            </c:strRef>
          </c:tx>
          <c:dPt>
            <c:idx val="0"/>
            <c:bubble3D val="0"/>
            <c:spPr>
              <a:solidFill>
                <a:srgbClr val="046664"/>
              </a:solidFill>
              <a:ln>
                <a:noFill/>
              </a:ln>
              <a:effectLst/>
            </c:spPr>
            <c:extLst>
              <c:ext xmlns:c16="http://schemas.microsoft.com/office/drawing/2014/chart" uri="{C3380CC4-5D6E-409C-BE32-E72D297353CC}">
                <c16:uniqueId val="{00000001-218F-B64F-8F43-BBA5085A1C95}"/>
              </c:ext>
            </c:extLst>
          </c:dPt>
          <c:dPt>
            <c:idx val="1"/>
            <c:bubble3D val="0"/>
            <c:spPr>
              <a:solidFill>
                <a:srgbClr val="CC0204"/>
              </a:solidFill>
              <a:ln>
                <a:noFill/>
              </a:ln>
              <a:effectLst/>
            </c:spPr>
            <c:extLst>
              <c:ext xmlns:c16="http://schemas.microsoft.com/office/drawing/2014/chart" uri="{C3380CC4-5D6E-409C-BE32-E72D297353CC}">
                <c16:uniqueId val="{00000003-218F-B64F-8F43-BBA5085A1C95}"/>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(Aggregate!$O$12,Aggregate!$U$12)</c:f>
              <c:numCache>
                <c:formatCode>General</c:formatCode>
                <c:ptCount val="2"/>
                <c:pt idx="0">
                  <c:v>0</c:v>
                </c:pt>
                <c:pt idx="1">
                  <c:v>14</c:v>
                </c:pt>
              </c:numCache>
            </c:numRef>
          </c:val>
          <c:extLst xmlns:c15="http://schemas.microsoft.com/office/drawing/2012/chart">
            <c:ext xmlns:c16="http://schemas.microsoft.com/office/drawing/2014/chart" uri="{C3380CC4-5D6E-409C-BE32-E72D297353CC}">
              <c16:uniqueId val="{00000004-218F-B64F-8F43-BBA5085A1C95}"/>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9"/>
          <c:order val="0"/>
          <c:tx>
            <c:strRef>
              <c:f>Aggregate!$J$12</c:f>
              <c:strCache>
                <c:ptCount val="1"/>
                <c:pt idx="0">
                  <c:v>WM</c:v>
                </c:pt>
              </c:strCache>
            </c:strRef>
          </c:tx>
          <c:dPt>
            <c:idx val="0"/>
            <c:bubble3D val="0"/>
            <c:spPr>
              <a:solidFill>
                <a:srgbClr val="046664"/>
              </a:solidFill>
              <a:ln>
                <a:noFill/>
              </a:ln>
              <a:effectLst/>
            </c:spPr>
            <c:extLst>
              <c:ext xmlns:c16="http://schemas.microsoft.com/office/drawing/2014/chart" uri="{C3380CC4-5D6E-409C-BE32-E72D297353CC}">
                <c16:uniqueId val="{00000001-8CEB-EF40-8D23-A5585F4E2623}"/>
              </c:ext>
            </c:extLst>
          </c:dPt>
          <c:dPt>
            <c:idx val="1"/>
            <c:bubble3D val="0"/>
            <c:spPr>
              <a:solidFill>
                <a:srgbClr val="CC0204"/>
              </a:solidFill>
              <a:ln>
                <a:noFill/>
              </a:ln>
              <a:effectLst/>
            </c:spPr>
            <c:extLst>
              <c:ext xmlns:c16="http://schemas.microsoft.com/office/drawing/2014/chart" uri="{C3380CC4-5D6E-409C-BE32-E72D297353CC}">
                <c16:uniqueId val="{00000003-8CEB-EF40-8D23-A5585F4E2623}"/>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(Aggregate!$M$12,Aggregate!$S$12)</c:f>
              <c:numCache>
                <c:formatCode>General</c:formatCode>
                <c:ptCount val="2"/>
                <c:pt idx="0">
                  <c:v>0</c:v>
                </c:pt>
                <c:pt idx="1">
                  <c:v>9</c:v>
                </c:pt>
              </c:numCache>
            </c:numRef>
          </c:val>
          <c:extLst xmlns:c15="http://schemas.microsoft.com/office/drawing/2012/chart">
            <c:ext xmlns:c16="http://schemas.microsoft.com/office/drawing/2014/chart" uri="{C3380CC4-5D6E-409C-BE32-E72D297353CC}">
              <c16:uniqueId val="{00000004-8CEB-EF40-8D23-A5585F4E2623}"/>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6"/>
          <c:order val="0"/>
          <c:tx>
            <c:strRef>
              <c:f>Aggregate!$J$9</c:f>
              <c:strCache>
                <c:ptCount val="1"/>
                <c:pt idx="0">
                  <c:v>RM</c:v>
                </c:pt>
              </c:strCache>
            </c:strRef>
          </c:tx>
          <c:spPr>
            <a:solidFill>
              <a:srgbClr val="046664"/>
            </a:solidFill>
          </c:spPr>
          <c:dPt>
            <c:idx val="0"/>
            <c:bubble3D val="0"/>
            <c:spPr>
              <a:solidFill>
                <a:srgbClr val="046664"/>
              </a:solidFill>
              <a:ln>
                <a:noFill/>
              </a:ln>
              <a:effectLst/>
            </c:spPr>
            <c:extLst>
              <c:ext xmlns:c16="http://schemas.microsoft.com/office/drawing/2014/chart" uri="{C3380CC4-5D6E-409C-BE32-E72D297353CC}">
                <c16:uniqueId val="{00000001-B967-7F40-B162-94971A1296B0}"/>
              </c:ext>
            </c:extLst>
          </c:dPt>
          <c:dPt>
            <c:idx val="1"/>
            <c:bubble3D val="0"/>
            <c:spPr>
              <a:solidFill>
                <a:srgbClr val="CC0204"/>
              </a:solidFill>
              <a:ln>
                <a:noFill/>
              </a:ln>
              <a:effectLst/>
            </c:spPr>
            <c:extLst>
              <c:ext xmlns:c16="http://schemas.microsoft.com/office/drawing/2014/chart" uri="{C3380CC4-5D6E-409C-BE32-E72D297353CC}">
                <c16:uniqueId val="{00000003-B967-7F40-B162-94971A1296B0}"/>
              </c:ext>
            </c:extLst>
          </c:dPt>
          <c:dPt>
            <c:idx val="2"/>
            <c:bubble3D val="0"/>
            <c:spPr>
              <a:solidFill>
                <a:srgbClr val="046664"/>
              </a:solidFill>
              <a:ln>
                <a:noFill/>
              </a:ln>
              <a:effectLst/>
            </c:spPr>
            <c:extLst>
              <c:ext xmlns:c16="http://schemas.microsoft.com/office/drawing/2014/chart" uri="{C3380CC4-5D6E-409C-BE32-E72D297353CC}">
                <c16:uniqueId val="{00000005-B967-7F40-B162-94971A1296B0}"/>
              </c:ext>
            </c:extLst>
          </c:dPt>
          <c:dPt>
            <c:idx val="3"/>
            <c:bubble3D val="0"/>
            <c:spPr>
              <a:solidFill>
                <a:srgbClr val="C00000"/>
              </a:solidFill>
              <a:ln>
                <a:noFill/>
              </a:ln>
              <a:effectLst/>
            </c:spPr>
            <c:extLst>
              <c:ext xmlns:c16="http://schemas.microsoft.com/office/drawing/2014/chart" uri="{C3380CC4-5D6E-409C-BE32-E72D297353CC}">
                <c16:uniqueId val="{00000007-B967-7F40-B162-94971A1296B0}"/>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(Aggregate!$K$9,Aggregate!$Q$9)</c:f>
              <c:numCache>
                <c:formatCode>General</c:formatCode>
                <c:ptCount val="2"/>
                <c:pt idx="0">
                  <c:v>0</c:v>
                </c:pt>
                <c:pt idx="1">
                  <c:v>2</c:v>
                </c:pt>
              </c:numCache>
            </c:numRef>
          </c:val>
          <c:extLst>
            <c:ext xmlns:c16="http://schemas.microsoft.com/office/drawing/2014/chart" uri="{C3380CC4-5D6E-409C-BE32-E72D297353CC}">
              <c16:uniqueId val="{00000008-B967-7F40-B162-94971A1296B0}"/>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9"/>
          <c:order val="0"/>
          <c:tx>
            <c:strRef>
              <c:f>Aggregate!$J$12</c:f>
              <c:strCache>
                <c:ptCount val="1"/>
                <c:pt idx="0">
                  <c:v>WM</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BF29-2643-B8C2-D1A0DBE87C15}"/>
              </c:ext>
            </c:extLst>
          </c:dPt>
          <c:dPt>
            <c:idx val="1"/>
            <c:bubble3D val="0"/>
            <c:spPr>
              <a:solidFill>
                <a:srgbClr val="CC0204"/>
              </a:solidFill>
              <a:ln>
                <a:noFill/>
              </a:ln>
              <a:effectLst/>
            </c:spPr>
            <c:extLst>
              <c:ext xmlns:c16="http://schemas.microsoft.com/office/drawing/2014/chart" uri="{C3380CC4-5D6E-409C-BE32-E72D297353CC}">
                <c16:uniqueId val="{00000003-BF29-2643-B8C2-D1A0DBE87C15}"/>
              </c:ext>
            </c:extLst>
          </c:dPt>
          <c:dPt>
            <c:idx val="2"/>
            <c:bubble3D val="0"/>
            <c:spPr>
              <a:solidFill>
                <a:schemeClr val="accent3"/>
              </a:solidFill>
              <a:ln>
                <a:noFill/>
              </a:ln>
              <a:effectLst/>
            </c:spPr>
            <c:extLst>
              <c:ext xmlns:c16="http://schemas.microsoft.com/office/drawing/2014/chart" uri="{C3380CC4-5D6E-409C-BE32-E72D297353CC}">
                <c16:uniqueId val="{00000005-BF29-2643-B8C2-D1A0DBE87C15}"/>
              </c:ext>
            </c:extLst>
          </c:dPt>
          <c:dPt>
            <c:idx val="3"/>
            <c:bubble3D val="0"/>
            <c:spPr>
              <a:solidFill>
                <a:srgbClr val="CC0204"/>
              </a:solidFill>
              <a:ln>
                <a:noFill/>
              </a:ln>
              <a:effectLst/>
            </c:spPr>
            <c:extLst>
              <c:ext xmlns:c16="http://schemas.microsoft.com/office/drawing/2014/chart" uri="{C3380CC4-5D6E-409C-BE32-E72D297353CC}">
                <c16:uniqueId val="{00000007-BF29-2643-B8C2-D1A0DBE87C15}"/>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(Aggregate!$K$12,Aggregate!$Q$12)</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8-BF29-2643-B8C2-D1A0DBE87C15}"/>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Aggregate!$J$3</c:f>
              <c:strCache>
                <c:ptCount val="1"/>
                <c:pt idx="0">
                  <c:v>APM</c:v>
                </c:pt>
              </c:strCache>
            </c:strRef>
          </c:tx>
          <c:dPt>
            <c:idx val="0"/>
            <c:bubble3D val="0"/>
            <c:spPr>
              <a:solidFill>
                <a:srgbClr val="046664"/>
              </a:solidFill>
              <a:ln>
                <a:noFill/>
              </a:ln>
              <a:effectLst/>
            </c:spPr>
            <c:extLst>
              <c:ext xmlns:c16="http://schemas.microsoft.com/office/drawing/2014/chart" uri="{C3380CC4-5D6E-409C-BE32-E72D297353CC}">
                <c16:uniqueId val="{00000001-BE34-AE4C-AAF1-813D2ABE6CF4}"/>
              </c:ext>
            </c:extLst>
          </c:dPt>
          <c:dPt>
            <c:idx val="1"/>
            <c:bubble3D val="0"/>
            <c:spPr>
              <a:solidFill>
                <a:srgbClr val="CC0204"/>
              </a:solidFill>
              <a:ln>
                <a:noFill/>
              </a:ln>
              <a:effectLst/>
            </c:spPr>
            <c:extLst>
              <c:ext xmlns:c16="http://schemas.microsoft.com/office/drawing/2014/chart" uri="{C3380CC4-5D6E-409C-BE32-E72D297353CC}">
                <c16:uniqueId val="{00000003-BE34-AE4C-AAF1-813D2ABE6CF4}"/>
              </c:ext>
            </c:extLst>
          </c:dPt>
          <c:dPt>
            <c:idx val="2"/>
            <c:bubble3D val="0"/>
            <c:spPr>
              <a:solidFill>
                <a:srgbClr val="046664"/>
              </a:solidFill>
              <a:ln>
                <a:noFill/>
              </a:ln>
              <a:effectLst/>
            </c:spPr>
            <c:extLst>
              <c:ext xmlns:c16="http://schemas.microsoft.com/office/drawing/2014/chart" uri="{C3380CC4-5D6E-409C-BE32-E72D297353CC}">
                <c16:uniqueId val="{00000005-BE34-AE4C-AAF1-813D2ABE6CF4}"/>
              </c:ext>
            </c:extLst>
          </c:dPt>
          <c:dPt>
            <c:idx val="3"/>
            <c:bubble3D val="0"/>
            <c:spPr>
              <a:solidFill>
                <a:schemeClr val="accent4"/>
              </a:solidFill>
              <a:ln>
                <a:noFill/>
              </a:ln>
              <a:effectLst/>
            </c:spPr>
            <c:extLst>
              <c:ext xmlns:c16="http://schemas.microsoft.com/office/drawing/2014/chart" uri="{C3380CC4-5D6E-409C-BE32-E72D297353CC}">
                <c16:uniqueId val="{00000007-BE34-AE4C-AAF1-813D2ABE6CF4}"/>
              </c:ext>
            </c:extLst>
          </c:dPt>
          <c:dPt>
            <c:idx val="4"/>
            <c:bubble3D val="0"/>
            <c:spPr>
              <a:solidFill>
                <a:schemeClr val="accent5"/>
              </a:solidFill>
              <a:ln>
                <a:noFill/>
              </a:ln>
              <a:effectLst/>
            </c:spPr>
            <c:extLst>
              <c:ext xmlns:c16="http://schemas.microsoft.com/office/drawing/2014/chart" uri="{C3380CC4-5D6E-409C-BE32-E72D297353CC}">
                <c16:uniqueId val="{00000009-BE34-AE4C-AAF1-813D2ABE6CF4}"/>
              </c:ext>
            </c:extLst>
          </c:dPt>
          <c:dPt>
            <c:idx val="5"/>
            <c:bubble3D val="0"/>
            <c:spPr>
              <a:solidFill>
                <a:srgbClr val="CC0204"/>
              </a:solidFill>
              <a:ln>
                <a:noFill/>
              </a:ln>
              <a:effectLst/>
            </c:spPr>
            <c:extLst>
              <c:ext xmlns:c16="http://schemas.microsoft.com/office/drawing/2014/chart" uri="{C3380CC4-5D6E-409C-BE32-E72D297353CC}">
                <c16:uniqueId val="{0000000B-BE34-AE4C-AAF1-813D2ABE6CF4}"/>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(Aggregate!$O$3,Aggregate!$U$3)</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C-BE34-AE4C-AAF1-813D2ABE6CF4}"/>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Aggregate!$J$3</c:f>
              <c:strCache>
                <c:ptCount val="1"/>
                <c:pt idx="0">
                  <c:v>APM</c:v>
                </c:pt>
              </c:strCache>
            </c:strRef>
          </c:tx>
          <c:dPt>
            <c:idx val="0"/>
            <c:bubble3D val="0"/>
            <c:spPr>
              <a:solidFill>
                <a:srgbClr val="046664"/>
              </a:solidFill>
              <a:ln>
                <a:noFill/>
              </a:ln>
              <a:effectLst/>
            </c:spPr>
            <c:extLst>
              <c:ext xmlns:c16="http://schemas.microsoft.com/office/drawing/2014/chart" uri="{C3380CC4-5D6E-409C-BE32-E72D297353CC}">
                <c16:uniqueId val="{00000001-9D5A-D440-BE17-C959F870F603}"/>
              </c:ext>
            </c:extLst>
          </c:dPt>
          <c:dPt>
            <c:idx val="1"/>
            <c:bubble3D val="0"/>
            <c:spPr>
              <a:solidFill>
                <a:srgbClr val="CC0204"/>
              </a:solidFill>
              <a:ln>
                <a:noFill/>
              </a:ln>
              <a:effectLst/>
            </c:spPr>
            <c:extLst>
              <c:ext xmlns:c16="http://schemas.microsoft.com/office/drawing/2014/chart" uri="{C3380CC4-5D6E-409C-BE32-E72D297353CC}">
                <c16:uniqueId val="{00000003-9D5A-D440-BE17-C959F870F603}"/>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(Aggregate!$M$3,Aggregate!$S$3)</c:f>
              <c:numCache>
                <c:formatCode>General</c:formatCode>
                <c:ptCount val="2"/>
                <c:pt idx="0">
                  <c:v>0</c:v>
                </c:pt>
                <c:pt idx="1">
                  <c:v>7</c:v>
                </c:pt>
              </c:numCache>
            </c:numRef>
          </c:val>
          <c:extLst xmlns:c15="http://schemas.microsoft.com/office/drawing/2012/chart">
            <c:ext xmlns:c16="http://schemas.microsoft.com/office/drawing/2014/chart" uri="{C3380CC4-5D6E-409C-BE32-E72D297353CC}">
              <c16:uniqueId val="{00000004-9D5A-D440-BE17-C959F870F603}"/>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Aggregate!$J$3</c:f>
              <c:strCache>
                <c:ptCount val="1"/>
                <c:pt idx="0">
                  <c:v>APM</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9067-EA46-835F-1E08E17C18C6}"/>
              </c:ext>
            </c:extLst>
          </c:dPt>
          <c:dPt>
            <c:idx val="1"/>
            <c:bubble3D val="0"/>
            <c:spPr>
              <a:solidFill>
                <a:srgbClr val="CC0204"/>
              </a:solidFill>
              <a:ln>
                <a:noFill/>
              </a:ln>
              <a:effectLst/>
            </c:spPr>
            <c:extLst>
              <c:ext xmlns:c16="http://schemas.microsoft.com/office/drawing/2014/chart" uri="{C3380CC4-5D6E-409C-BE32-E72D297353CC}">
                <c16:uniqueId val="{00000003-9067-EA46-835F-1E08E17C18C6}"/>
              </c:ext>
            </c:extLst>
          </c:dPt>
          <c:dPt>
            <c:idx val="2"/>
            <c:bubble3D val="0"/>
            <c:spPr>
              <a:solidFill>
                <a:schemeClr val="accent3"/>
              </a:solidFill>
              <a:ln>
                <a:noFill/>
              </a:ln>
              <a:effectLst/>
            </c:spPr>
            <c:extLst>
              <c:ext xmlns:c16="http://schemas.microsoft.com/office/drawing/2014/chart" uri="{C3380CC4-5D6E-409C-BE32-E72D297353CC}">
                <c16:uniqueId val="{00000005-9067-EA46-835F-1E08E17C18C6}"/>
              </c:ext>
            </c:extLst>
          </c:dPt>
          <c:dPt>
            <c:idx val="3"/>
            <c:bubble3D val="0"/>
            <c:spPr>
              <a:solidFill>
                <a:srgbClr val="CC0204"/>
              </a:solidFill>
              <a:ln>
                <a:noFill/>
              </a:ln>
              <a:effectLst/>
            </c:spPr>
            <c:extLst>
              <c:ext xmlns:c16="http://schemas.microsoft.com/office/drawing/2014/chart" uri="{C3380CC4-5D6E-409C-BE32-E72D297353CC}">
                <c16:uniqueId val="{00000007-9067-EA46-835F-1E08E17C18C6}"/>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(Aggregate!$K$3,Aggregate!$Q$3)</c:f>
              <c:numCache>
                <c:formatCode>General</c:formatCode>
                <c:ptCount val="2"/>
                <c:pt idx="0">
                  <c:v>0</c:v>
                </c:pt>
                <c:pt idx="1">
                  <c:v>3</c:v>
                </c:pt>
              </c:numCache>
            </c:numRef>
          </c:val>
          <c:extLst xmlns:c15="http://schemas.microsoft.com/office/drawing/2012/chart">
            <c:ext xmlns:c16="http://schemas.microsoft.com/office/drawing/2014/chart" uri="{C3380CC4-5D6E-409C-BE32-E72D297353CC}">
              <c16:uniqueId val="{00000008-9067-EA46-835F-1E08E17C18C6}"/>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0"/>
          <c:order val="0"/>
          <c:dPt>
            <c:idx val="0"/>
            <c:bubble3D val="0"/>
            <c:spPr>
              <a:solidFill>
                <a:srgbClr val="046664"/>
              </a:solidFill>
              <a:ln>
                <a:noFill/>
              </a:ln>
              <a:effectLst/>
            </c:spPr>
            <c:extLst>
              <c:ext xmlns:c16="http://schemas.microsoft.com/office/drawing/2014/chart" uri="{C3380CC4-5D6E-409C-BE32-E72D297353CC}">
                <c16:uniqueId val="{00000001-CA8C-684B-87A1-8B7858C52E87}"/>
              </c:ext>
            </c:extLst>
          </c:dPt>
          <c:dPt>
            <c:idx val="1"/>
            <c:bubble3D val="0"/>
            <c:spPr>
              <a:solidFill>
                <a:srgbClr val="CC0204"/>
              </a:solidFill>
              <a:ln>
                <a:noFill/>
              </a:ln>
              <a:effectLst/>
            </c:spPr>
            <c:extLst>
              <c:ext xmlns:c16="http://schemas.microsoft.com/office/drawing/2014/chart" uri="{C3380CC4-5D6E-409C-BE32-E72D297353CC}">
                <c16:uniqueId val="{00000003-CA8C-684B-87A1-8B7858C52E87}"/>
              </c:ext>
            </c:extLst>
          </c:dPt>
          <c:dPt>
            <c:idx val="2"/>
            <c:bubble3D val="0"/>
            <c:spPr>
              <a:solidFill>
                <a:srgbClr val="046664"/>
              </a:solidFill>
              <a:ln>
                <a:noFill/>
              </a:ln>
              <a:effectLst/>
            </c:spPr>
            <c:extLst>
              <c:ext xmlns:c16="http://schemas.microsoft.com/office/drawing/2014/chart" uri="{C3380CC4-5D6E-409C-BE32-E72D297353CC}">
                <c16:uniqueId val="{00000005-CA8C-684B-87A1-8B7858C52E87}"/>
              </c:ext>
            </c:extLst>
          </c:dPt>
          <c:dPt>
            <c:idx val="3"/>
            <c:bubble3D val="0"/>
            <c:spPr>
              <a:solidFill>
                <a:srgbClr val="CC0204"/>
              </a:solidFill>
              <a:ln>
                <a:noFill/>
              </a:ln>
              <a:effectLst/>
            </c:spPr>
            <c:extLst>
              <c:ext xmlns:c16="http://schemas.microsoft.com/office/drawing/2014/chart" uri="{C3380CC4-5D6E-409C-BE32-E72D297353CC}">
                <c16:uniqueId val="{00000007-CA8C-684B-87A1-8B7858C52E87}"/>
              </c:ext>
            </c:extLst>
          </c:dPt>
          <c:dPt>
            <c:idx val="4"/>
            <c:bubble3D val="0"/>
            <c:spPr>
              <a:solidFill>
                <a:srgbClr val="CC0204"/>
              </a:solidFill>
              <a:ln>
                <a:noFill/>
              </a:ln>
              <a:effectLst/>
            </c:spPr>
            <c:extLst>
              <c:ext xmlns:c16="http://schemas.microsoft.com/office/drawing/2014/chart" uri="{C3380CC4-5D6E-409C-BE32-E72D297353CC}">
                <c16:uniqueId val="{00000009-CA8C-684B-87A1-8B7858C52E87}"/>
              </c:ext>
            </c:extLst>
          </c:dPt>
          <c:dPt>
            <c:idx val="5"/>
            <c:bubble3D val="0"/>
            <c:spPr>
              <a:solidFill>
                <a:srgbClr val="CC0204"/>
              </a:solidFill>
              <a:ln>
                <a:noFill/>
              </a:ln>
              <a:effectLst/>
            </c:spPr>
            <c:extLst>
              <c:ext xmlns:c16="http://schemas.microsoft.com/office/drawing/2014/chart" uri="{C3380CC4-5D6E-409C-BE32-E72D297353CC}">
                <c16:uniqueId val="{0000000B-CA8C-684B-87A1-8B7858C52E87}"/>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Aggregate!$L$16:$M$16</c:f>
              <c:strCache>
                <c:ptCount val="2"/>
                <c:pt idx="0">
                  <c:v>Count Complete</c:v>
                </c:pt>
                <c:pt idx="1">
                  <c:v>Count Not Complete</c:v>
                </c:pt>
              </c:strCache>
            </c:strRef>
          </c:cat>
          <c:val>
            <c:numRef>
              <c:f>Aggregate!$L$19:$M$19</c:f>
              <c:numCache>
                <c:formatCode>General</c:formatCode>
                <c:ptCount val="2"/>
                <c:pt idx="0">
                  <c:v>7</c:v>
                </c:pt>
                <c:pt idx="1">
                  <c:v>97</c:v>
                </c:pt>
              </c:numCache>
            </c:numRef>
          </c:val>
          <c:extLst>
            <c:ext xmlns:c15="http://schemas.microsoft.com/office/drawing/2012/chart" uri="{02D57815-91ED-43cb-92C2-25804820EDAC}">
              <c15:filteredSeriesTitle>
                <c15:tx>
                  <c:strRef>
                    <c:extLst>
                      <c:ext uri="{02D57815-91ED-43cb-92C2-25804820EDAC}">
                        <c15:formulaRef>
                          <c15:sqref>Aggregate!#REF!</c15:sqref>
                        </c15:formulaRef>
                      </c:ext>
                    </c:extLst>
                    <c:strCache>
                      <c:ptCount val="1"/>
                      <c:pt idx="0">
                        <c:v>#REF!</c:v>
                      </c:pt>
                    </c:strCache>
                  </c:strRef>
                </c15:tx>
              </c15:filteredSeriesTitle>
            </c:ext>
            <c:ext xmlns:c16="http://schemas.microsoft.com/office/drawing/2014/chart" uri="{C3380CC4-5D6E-409C-BE32-E72D297353CC}">
              <c16:uniqueId val="{0000000C-CA8C-684B-87A1-8B7858C52E87}"/>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0"/>
          <c:order val="0"/>
          <c:dPt>
            <c:idx val="0"/>
            <c:bubble3D val="0"/>
            <c:spPr>
              <a:solidFill>
                <a:srgbClr val="046664"/>
              </a:solidFill>
              <a:ln>
                <a:noFill/>
              </a:ln>
              <a:effectLst/>
            </c:spPr>
            <c:extLst>
              <c:ext xmlns:c16="http://schemas.microsoft.com/office/drawing/2014/chart" uri="{C3380CC4-5D6E-409C-BE32-E72D297353CC}">
                <c16:uniqueId val="{00000001-1A6D-5749-A723-CFA271C34E85}"/>
              </c:ext>
            </c:extLst>
          </c:dPt>
          <c:dPt>
            <c:idx val="1"/>
            <c:bubble3D val="0"/>
            <c:spPr>
              <a:solidFill>
                <a:srgbClr val="CC0204"/>
              </a:solidFill>
              <a:ln>
                <a:noFill/>
              </a:ln>
              <a:effectLst/>
            </c:spPr>
            <c:extLst>
              <c:ext xmlns:c16="http://schemas.microsoft.com/office/drawing/2014/chart" uri="{C3380CC4-5D6E-409C-BE32-E72D297353CC}">
                <c16:uniqueId val="{00000003-1A6D-5749-A723-CFA271C34E85}"/>
              </c:ext>
            </c:extLst>
          </c:dPt>
          <c:dPt>
            <c:idx val="2"/>
            <c:bubble3D val="0"/>
            <c:spPr>
              <a:solidFill>
                <a:schemeClr val="accent3"/>
              </a:solidFill>
              <a:ln>
                <a:noFill/>
              </a:ln>
              <a:effectLst/>
            </c:spPr>
            <c:extLst>
              <c:ext xmlns:c16="http://schemas.microsoft.com/office/drawing/2014/chart" uri="{C3380CC4-5D6E-409C-BE32-E72D297353CC}">
                <c16:uniqueId val="{00000005-1A6D-5749-A723-CFA271C34E85}"/>
              </c:ext>
            </c:extLst>
          </c:dPt>
          <c:dPt>
            <c:idx val="3"/>
            <c:bubble3D val="0"/>
            <c:spPr>
              <a:solidFill>
                <a:schemeClr val="accent4"/>
              </a:solidFill>
              <a:ln>
                <a:noFill/>
              </a:ln>
              <a:effectLst/>
            </c:spPr>
            <c:extLst>
              <c:ext xmlns:c16="http://schemas.microsoft.com/office/drawing/2014/chart" uri="{C3380CC4-5D6E-409C-BE32-E72D297353CC}">
                <c16:uniqueId val="{00000007-1A6D-5749-A723-CFA271C34E85}"/>
              </c:ext>
            </c:extLst>
          </c:dPt>
          <c:dPt>
            <c:idx val="4"/>
            <c:bubble3D val="0"/>
            <c:spPr>
              <a:solidFill>
                <a:srgbClr val="CC0204"/>
              </a:solidFill>
              <a:ln>
                <a:noFill/>
              </a:ln>
              <a:effectLst/>
            </c:spPr>
            <c:extLst>
              <c:ext xmlns:c16="http://schemas.microsoft.com/office/drawing/2014/chart" uri="{C3380CC4-5D6E-409C-BE32-E72D297353CC}">
                <c16:uniqueId val="{00000009-1A6D-5749-A723-CFA271C34E85}"/>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Aggregate!$L$16:$M$16</c:f>
              <c:strCache>
                <c:ptCount val="2"/>
                <c:pt idx="0">
                  <c:v>Count Complete</c:v>
                </c:pt>
                <c:pt idx="1">
                  <c:v>Count Not Complete</c:v>
                </c:pt>
              </c:strCache>
            </c:strRef>
          </c:cat>
          <c:val>
            <c:numRef>
              <c:f>Aggregate!$L$18:$M$18</c:f>
              <c:numCache>
                <c:formatCode>General</c:formatCode>
                <c:ptCount val="2"/>
                <c:pt idx="0">
                  <c:v>16</c:v>
                </c:pt>
                <c:pt idx="1">
                  <c:v>105</c:v>
                </c:pt>
              </c:numCache>
            </c:numRef>
          </c:val>
          <c:extLst>
            <c:ext xmlns:c15="http://schemas.microsoft.com/office/drawing/2012/chart" uri="{02D57815-91ED-43cb-92C2-25804820EDAC}">
              <c15:filteredSeriesTitle>
                <c15:tx>
                  <c:strRef>
                    <c:extLst>
                      <c:ext uri="{02D57815-91ED-43cb-92C2-25804820EDAC}">
                        <c15:formulaRef>
                          <c15:sqref>Aggregate!#REF!</c15:sqref>
                        </c15:formulaRef>
                      </c:ext>
                    </c:extLst>
                    <c:strCache>
                      <c:ptCount val="1"/>
                      <c:pt idx="0">
                        <c:v>#REF!</c:v>
                      </c:pt>
                    </c:strCache>
                  </c:strRef>
                </c15:tx>
              </c15:filteredSeriesTitle>
            </c:ext>
            <c:ext xmlns:c16="http://schemas.microsoft.com/office/drawing/2014/chart" uri="{C3380CC4-5D6E-409C-BE32-E72D297353CC}">
              <c16:uniqueId val="{0000000A-1A6D-5749-A723-CFA271C34E85}"/>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0"/>
          <c:order val="0"/>
          <c:dPt>
            <c:idx val="0"/>
            <c:bubble3D val="0"/>
            <c:spPr>
              <a:solidFill>
                <a:srgbClr val="046664"/>
              </a:solidFill>
              <a:ln>
                <a:noFill/>
              </a:ln>
              <a:effectLst/>
            </c:spPr>
            <c:extLst>
              <c:ext xmlns:c16="http://schemas.microsoft.com/office/drawing/2014/chart" uri="{C3380CC4-5D6E-409C-BE32-E72D297353CC}">
                <c16:uniqueId val="{00000001-75F3-4A47-9A8E-9C3545F25AAC}"/>
              </c:ext>
            </c:extLst>
          </c:dPt>
          <c:dPt>
            <c:idx val="1"/>
            <c:bubble3D val="0"/>
            <c:spPr>
              <a:solidFill>
                <a:srgbClr val="CC0204"/>
              </a:solidFill>
              <a:ln>
                <a:noFill/>
              </a:ln>
              <a:effectLst/>
            </c:spPr>
            <c:extLst>
              <c:ext xmlns:c16="http://schemas.microsoft.com/office/drawing/2014/chart" uri="{C3380CC4-5D6E-409C-BE32-E72D297353CC}">
                <c16:uniqueId val="{00000003-75F3-4A47-9A8E-9C3545F25AAC}"/>
              </c:ext>
            </c:extLst>
          </c:dPt>
          <c:dPt>
            <c:idx val="2"/>
            <c:bubble3D val="0"/>
            <c:spPr>
              <a:solidFill>
                <a:schemeClr val="accent3"/>
              </a:solidFill>
              <a:ln>
                <a:noFill/>
              </a:ln>
              <a:effectLst/>
            </c:spPr>
            <c:extLst>
              <c:ext xmlns:c16="http://schemas.microsoft.com/office/drawing/2014/chart" uri="{C3380CC4-5D6E-409C-BE32-E72D297353CC}">
                <c16:uniqueId val="{00000005-75F3-4A47-9A8E-9C3545F25AAC}"/>
              </c:ext>
            </c:extLst>
          </c:dPt>
          <c:dPt>
            <c:idx val="3"/>
            <c:bubble3D val="0"/>
            <c:spPr>
              <a:solidFill>
                <a:srgbClr val="CC0204"/>
              </a:solidFill>
              <a:ln>
                <a:noFill/>
              </a:ln>
              <a:effectLst/>
            </c:spPr>
            <c:extLst>
              <c:ext xmlns:c16="http://schemas.microsoft.com/office/drawing/2014/chart" uri="{C3380CC4-5D6E-409C-BE32-E72D297353CC}">
                <c16:uniqueId val="{00000007-75F3-4A47-9A8E-9C3545F25AAC}"/>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Aggregate!$L$16:$M$16</c:f>
              <c:strCache>
                <c:ptCount val="2"/>
                <c:pt idx="0">
                  <c:v>Count Complete</c:v>
                </c:pt>
                <c:pt idx="1">
                  <c:v>Count Not Complete</c:v>
                </c:pt>
              </c:strCache>
            </c:strRef>
          </c:cat>
          <c:val>
            <c:numRef>
              <c:f>Aggregate!$L$17:$M$17</c:f>
              <c:numCache>
                <c:formatCode>General</c:formatCode>
                <c:ptCount val="2"/>
                <c:pt idx="0">
                  <c:v>4</c:v>
                </c:pt>
                <c:pt idx="1">
                  <c:v>53</c:v>
                </c:pt>
              </c:numCache>
            </c:numRef>
          </c:val>
          <c:extLst>
            <c:ext xmlns:c15="http://schemas.microsoft.com/office/drawing/2012/chart" uri="{02D57815-91ED-43cb-92C2-25804820EDAC}">
              <c15:filteredSeriesTitle>
                <c15:tx>
                  <c:strRef>
                    <c:extLst>
                      <c:ext uri="{02D57815-91ED-43cb-92C2-25804820EDAC}">
                        <c15:formulaRef>
                          <c15:sqref>Aggregate!#REF!</c15:sqref>
                        </c15:formulaRef>
                      </c:ext>
                    </c:extLst>
                    <c:strCache>
                      <c:ptCount val="1"/>
                      <c:pt idx="0">
                        <c:v>#REF!</c:v>
                      </c:pt>
                    </c:strCache>
                  </c:strRef>
                </c15:tx>
              </c15:filteredSeriesTitle>
            </c:ext>
            <c:ext xmlns:c16="http://schemas.microsoft.com/office/drawing/2014/chart" uri="{C3380CC4-5D6E-409C-BE32-E72D297353CC}">
              <c16:uniqueId val="{00000008-75F3-4A47-9A8E-9C3545F25AAC}"/>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0"/>
          <c:order val="0"/>
          <c:tx>
            <c:strRef>
              <c:f>Aggregate!$J$13</c:f>
              <c:strCache>
                <c:ptCount val="1"/>
                <c:pt idx="0">
                  <c:v>Total</c:v>
                </c:pt>
              </c:strCache>
            </c:strRef>
          </c:tx>
          <c:dPt>
            <c:idx val="0"/>
            <c:bubble3D val="0"/>
            <c:spPr>
              <a:solidFill>
                <a:srgbClr val="046664"/>
              </a:solidFill>
              <a:ln>
                <a:noFill/>
              </a:ln>
              <a:effectLst/>
            </c:spPr>
            <c:extLst>
              <c:ext xmlns:c16="http://schemas.microsoft.com/office/drawing/2014/chart" uri="{C3380CC4-5D6E-409C-BE32-E72D297353CC}">
                <c16:uniqueId val="{00000001-5FA2-9C44-977C-ECCF0E8D70D9}"/>
              </c:ext>
            </c:extLst>
          </c:dPt>
          <c:dPt>
            <c:idx val="1"/>
            <c:bubble3D val="0"/>
            <c:spPr>
              <a:solidFill>
                <a:srgbClr val="CC0204"/>
              </a:solidFill>
              <a:ln>
                <a:noFill/>
              </a:ln>
              <a:effectLst/>
            </c:spPr>
            <c:extLst>
              <c:ext xmlns:c16="http://schemas.microsoft.com/office/drawing/2014/chart" uri="{C3380CC4-5D6E-409C-BE32-E72D297353CC}">
                <c16:uniqueId val="{00000003-5FA2-9C44-977C-ECCF0E8D70D9}"/>
              </c:ext>
            </c:extLst>
          </c:dPt>
          <c:dPt>
            <c:idx val="2"/>
            <c:bubble3D val="0"/>
            <c:spPr>
              <a:solidFill>
                <a:srgbClr val="046664"/>
              </a:solidFill>
              <a:ln>
                <a:noFill/>
              </a:ln>
              <a:effectLst/>
            </c:spPr>
            <c:extLst>
              <c:ext xmlns:c16="http://schemas.microsoft.com/office/drawing/2014/chart" uri="{C3380CC4-5D6E-409C-BE32-E72D297353CC}">
                <c16:uniqueId val="{00000005-5FA2-9C44-977C-ECCF0E8D70D9}"/>
              </c:ext>
            </c:extLst>
          </c:dPt>
          <c:dPt>
            <c:idx val="3"/>
            <c:bubble3D val="0"/>
            <c:spPr>
              <a:solidFill>
                <a:srgbClr val="CC0204"/>
              </a:solidFill>
              <a:ln>
                <a:noFill/>
              </a:ln>
              <a:effectLst/>
            </c:spPr>
            <c:extLst>
              <c:ext xmlns:c16="http://schemas.microsoft.com/office/drawing/2014/chart" uri="{C3380CC4-5D6E-409C-BE32-E72D297353CC}">
                <c16:uniqueId val="{00000007-5FA2-9C44-977C-ECCF0E8D70D9}"/>
              </c:ext>
            </c:extLst>
          </c:dPt>
          <c:dPt>
            <c:idx val="4"/>
            <c:bubble3D val="0"/>
            <c:spPr>
              <a:solidFill>
                <a:srgbClr val="CC0204"/>
              </a:solidFill>
              <a:ln>
                <a:noFill/>
              </a:ln>
              <a:effectLst/>
            </c:spPr>
            <c:extLst>
              <c:ext xmlns:c16="http://schemas.microsoft.com/office/drawing/2014/chart" uri="{C3380CC4-5D6E-409C-BE32-E72D297353CC}">
                <c16:uniqueId val="{00000009-5FA2-9C44-977C-ECCF0E8D70D9}"/>
              </c:ext>
            </c:extLst>
          </c:dPt>
          <c:dPt>
            <c:idx val="5"/>
            <c:bubble3D val="0"/>
            <c:spPr>
              <a:solidFill>
                <a:srgbClr val="CC0204"/>
              </a:solidFill>
              <a:ln>
                <a:noFill/>
              </a:ln>
              <a:effectLst/>
            </c:spPr>
            <c:extLst>
              <c:ext xmlns:c16="http://schemas.microsoft.com/office/drawing/2014/chart" uri="{C3380CC4-5D6E-409C-BE32-E72D297353CC}">
                <c16:uniqueId val="{0000000B-5FA2-9C44-977C-ECCF0E8D70D9}"/>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(Aggregate!$P$1,Aggregate!$V$1)</c:f>
              <c:strCache>
                <c:ptCount val="2"/>
                <c:pt idx="0">
                  <c:v>MIL 3 AP Not Present</c:v>
                </c:pt>
                <c:pt idx="1">
                  <c:v>MIL 3 AP Present</c:v>
                </c:pt>
              </c:strCache>
            </c:strRef>
          </c:cat>
          <c:val>
            <c:numRef>
              <c:f>(Aggregate!$P$13,Aggregate!$V$13)</c:f>
              <c:numCache>
                <c:formatCode>General</c:formatCode>
                <c:ptCount val="2"/>
                <c:pt idx="0">
                  <c:v>0</c:v>
                </c:pt>
                <c:pt idx="1">
                  <c:v>12</c:v>
                </c:pt>
              </c:numCache>
            </c:numRef>
          </c:val>
          <c:extLst>
            <c:ext xmlns:c16="http://schemas.microsoft.com/office/drawing/2014/chart" uri="{C3380CC4-5D6E-409C-BE32-E72D297353CC}">
              <c16:uniqueId val="{0000000C-5FA2-9C44-977C-ECCF0E8D70D9}"/>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8"/>
          <c:order val="0"/>
          <c:tx>
            <c:strRef>
              <c:f>Aggregate!$J$13</c:f>
              <c:strCache>
                <c:ptCount val="1"/>
                <c:pt idx="0">
                  <c:v>Total</c:v>
                </c:pt>
              </c:strCache>
            </c:strRef>
          </c:tx>
          <c:dPt>
            <c:idx val="0"/>
            <c:bubble3D val="0"/>
            <c:spPr>
              <a:solidFill>
                <a:srgbClr val="046664"/>
              </a:solidFill>
              <a:ln>
                <a:noFill/>
              </a:ln>
              <a:effectLst/>
            </c:spPr>
            <c:extLst>
              <c:ext xmlns:c16="http://schemas.microsoft.com/office/drawing/2014/chart" uri="{C3380CC4-5D6E-409C-BE32-E72D297353CC}">
                <c16:uniqueId val="{00000001-A8E6-304D-82A1-43C1667B6918}"/>
              </c:ext>
            </c:extLst>
          </c:dPt>
          <c:dPt>
            <c:idx val="1"/>
            <c:bubble3D val="0"/>
            <c:spPr>
              <a:solidFill>
                <a:srgbClr val="CC0204"/>
              </a:solidFill>
              <a:ln>
                <a:noFill/>
              </a:ln>
              <a:effectLst/>
            </c:spPr>
            <c:extLst>
              <c:ext xmlns:c16="http://schemas.microsoft.com/office/drawing/2014/chart" uri="{C3380CC4-5D6E-409C-BE32-E72D297353CC}">
                <c16:uniqueId val="{00000003-A8E6-304D-82A1-43C1667B6918}"/>
              </c:ext>
            </c:extLst>
          </c:dPt>
          <c:dLbls>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(Aggregate!$N$1,Aggregate!$T$1)</c:f>
              <c:strCache>
                <c:ptCount val="2"/>
                <c:pt idx="0">
                  <c:v>MIL 2 AP Not Present</c:v>
                </c:pt>
                <c:pt idx="1">
                  <c:v>MIL 2 AP Present</c:v>
                </c:pt>
              </c:strCache>
            </c:strRef>
          </c:cat>
          <c:val>
            <c:numRef>
              <c:f>(Aggregate!$N$13,Aggregate!$T$13)</c:f>
              <c:numCache>
                <c:formatCode>General</c:formatCode>
                <c:ptCount val="2"/>
                <c:pt idx="0">
                  <c:v>2</c:v>
                </c:pt>
                <c:pt idx="1">
                  <c:v>25</c:v>
                </c:pt>
              </c:numCache>
            </c:numRef>
          </c:val>
          <c:extLst>
            <c:ext xmlns:c16="http://schemas.microsoft.com/office/drawing/2014/chart" uri="{C3380CC4-5D6E-409C-BE32-E72D297353CC}">
              <c16:uniqueId val="{00000014-BEF3-3D46-96CA-5FAA05EBEBED}"/>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8"/>
          <c:order val="0"/>
          <c:tx>
            <c:strRef>
              <c:f>Aggregate!$J$13</c:f>
              <c:strCache>
                <c:ptCount val="1"/>
                <c:pt idx="0">
                  <c:v>Total</c:v>
                </c:pt>
              </c:strCache>
            </c:strRef>
          </c:tx>
          <c:dPt>
            <c:idx val="0"/>
            <c:bubble3D val="0"/>
            <c:spPr>
              <a:solidFill>
                <a:srgbClr val="046664"/>
              </a:solidFill>
              <a:ln>
                <a:noFill/>
              </a:ln>
              <a:effectLst/>
            </c:spPr>
            <c:extLst>
              <c:ext xmlns:c16="http://schemas.microsoft.com/office/drawing/2014/chart" uri="{C3380CC4-5D6E-409C-BE32-E72D297353CC}">
                <c16:uniqueId val="{00000001-00CA-C144-AEE3-9DC6BB74BC2A}"/>
              </c:ext>
            </c:extLst>
          </c:dPt>
          <c:dPt>
            <c:idx val="1"/>
            <c:bubble3D val="0"/>
            <c:spPr>
              <a:solidFill>
                <a:srgbClr val="CC0204"/>
              </a:solidFill>
              <a:ln>
                <a:noFill/>
              </a:ln>
              <a:effectLst/>
            </c:spPr>
            <c:extLst>
              <c:ext xmlns:c16="http://schemas.microsoft.com/office/drawing/2014/chart" uri="{C3380CC4-5D6E-409C-BE32-E72D297353CC}">
                <c16:uniqueId val="{00000003-00CA-C144-AEE3-9DC6BB74BC2A}"/>
              </c:ext>
            </c:extLst>
          </c:dPt>
          <c:dLbls>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extLst>
          </c:dLbls>
          <c:cat>
            <c:strRef>
              <c:f>(Aggregate!$L$1,Aggregate!$R$1)</c:f>
              <c:strCache>
                <c:ptCount val="2"/>
                <c:pt idx="0">
                  <c:v>MIL 1 AP Not Present</c:v>
                </c:pt>
                <c:pt idx="1">
                  <c:v>MIL 1 AP Present</c:v>
                </c:pt>
              </c:strCache>
            </c:strRef>
          </c:cat>
          <c:val>
            <c:numRef>
              <c:f>(Aggregate!$L$13,Aggregate!$R$13)</c:f>
              <c:numCache>
                <c:formatCode>General</c:formatCode>
                <c:ptCount val="2"/>
                <c:pt idx="0">
                  <c:v>0</c:v>
                </c:pt>
                <c:pt idx="1">
                  <c:v>3</c:v>
                </c:pt>
              </c:numCache>
            </c:numRef>
          </c:val>
          <c:extLst>
            <c:ext xmlns:c16="http://schemas.microsoft.com/office/drawing/2014/chart" uri="{C3380CC4-5D6E-409C-BE32-E72D297353CC}">
              <c16:uniqueId val="{00000012-3413-7E44-9E7F-82D6ECB455D2}"/>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Aggregate!$J$4</c:f>
              <c:strCache>
                <c:ptCount val="1"/>
                <c:pt idx="0">
                  <c:v>CPM</c:v>
                </c:pt>
              </c:strCache>
            </c:strRef>
          </c:tx>
          <c:spPr>
            <a:solidFill>
              <a:srgbClr val="046664"/>
            </a:solidFill>
          </c:spPr>
          <c:dPt>
            <c:idx val="0"/>
            <c:bubble3D val="0"/>
            <c:spPr>
              <a:solidFill>
                <a:srgbClr val="046664"/>
              </a:solidFill>
              <a:ln>
                <a:noFill/>
              </a:ln>
              <a:effectLst/>
            </c:spPr>
            <c:extLst>
              <c:ext xmlns:c16="http://schemas.microsoft.com/office/drawing/2014/chart" uri="{C3380CC4-5D6E-409C-BE32-E72D297353CC}">
                <c16:uniqueId val="{00000001-B8AA-6947-9298-1AB8A7B75FE5}"/>
              </c:ext>
            </c:extLst>
          </c:dPt>
          <c:dPt>
            <c:idx val="1"/>
            <c:bubble3D val="0"/>
            <c:spPr>
              <a:solidFill>
                <a:srgbClr val="CC0204"/>
              </a:solidFill>
              <a:ln>
                <a:noFill/>
              </a:ln>
              <a:effectLst/>
            </c:spPr>
            <c:extLst>
              <c:ext xmlns:c16="http://schemas.microsoft.com/office/drawing/2014/chart" uri="{C3380CC4-5D6E-409C-BE32-E72D297353CC}">
                <c16:uniqueId val="{00000003-B8AA-6947-9298-1AB8A7B75FE5}"/>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(Aggregate!$O$4,Aggregate!$U$4)</c:f>
              <c:numCache>
                <c:formatCode>General</c:formatCode>
                <c:ptCount val="2"/>
                <c:pt idx="0">
                  <c:v>7</c:v>
                </c:pt>
                <c:pt idx="1">
                  <c:v>0</c:v>
                </c:pt>
              </c:numCache>
            </c:numRef>
          </c:val>
          <c:extLst xmlns:c15="http://schemas.microsoft.com/office/drawing/2012/chart">
            <c:ext xmlns:c16="http://schemas.microsoft.com/office/drawing/2014/chart" uri="{C3380CC4-5D6E-409C-BE32-E72D297353CC}">
              <c16:uniqueId val="{00000004-B8AA-6947-9298-1AB8A7B75FE5}"/>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Aggregate!$K$16</c:f>
              <c:strCache>
                <c:ptCount val="1"/>
                <c:pt idx="0">
                  <c:v>Complete %</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Aggregate!$J$17:$J$19</c:f>
              <c:strCache>
                <c:ptCount val="3"/>
                <c:pt idx="0">
                  <c:v>MIL-1</c:v>
                </c:pt>
                <c:pt idx="1">
                  <c:v>MIL-2</c:v>
                </c:pt>
                <c:pt idx="2">
                  <c:v>MIL-3</c:v>
                </c:pt>
              </c:strCache>
            </c:strRef>
          </c:cat>
          <c:val>
            <c:numRef>
              <c:f>Aggregate!$K$17:$K$19</c:f>
              <c:numCache>
                <c:formatCode>0%</c:formatCode>
                <c:ptCount val="3"/>
                <c:pt idx="0">
                  <c:v>7.0175438596491224E-2</c:v>
                </c:pt>
                <c:pt idx="1">
                  <c:v>0</c:v>
                </c:pt>
                <c:pt idx="2">
                  <c:v>0</c:v>
                </c:pt>
              </c:numCache>
            </c:numRef>
          </c:val>
          <c:extLst>
            <c:ext xmlns:c16="http://schemas.microsoft.com/office/drawing/2014/chart" uri="{C3380CC4-5D6E-409C-BE32-E72D297353CC}">
              <c16:uniqueId val="{00000000-5B63-2045-A4C8-35DAD2545ECE}"/>
            </c:ext>
          </c:extLst>
        </c:ser>
        <c:dLbls>
          <c:dLblPos val="outEnd"/>
          <c:showLegendKey val="0"/>
          <c:showVal val="1"/>
          <c:showCatName val="0"/>
          <c:showSerName val="0"/>
          <c:showPercent val="0"/>
          <c:showBubbleSize val="0"/>
        </c:dLbls>
        <c:gapWidth val="50"/>
        <c:overlap val="-27"/>
        <c:axId val="1510218560"/>
        <c:axId val="1535665056"/>
      </c:barChart>
      <c:catAx>
        <c:axId val="1510218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5665056"/>
        <c:crosses val="autoZero"/>
        <c:auto val="1"/>
        <c:lblAlgn val="ctr"/>
        <c:lblOffset val="100"/>
        <c:noMultiLvlLbl val="0"/>
      </c:catAx>
      <c:valAx>
        <c:axId val="1535665056"/>
        <c:scaling>
          <c:orientation val="minMax"/>
          <c:max val="1"/>
        </c:scaling>
        <c:delete val="1"/>
        <c:axPos val="l"/>
        <c:numFmt formatCode="0%" sourceLinked="1"/>
        <c:majorTickMark val="none"/>
        <c:minorTickMark val="none"/>
        <c:tickLblPos val="nextTo"/>
        <c:crossAx val="1510218560"/>
        <c:crosses val="autoZero"/>
        <c:crossBetween val="between"/>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Aggregate!$J$4</c:f>
              <c:strCache>
                <c:ptCount val="1"/>
                <c:pt idx="0">
                  <c:v>CPM</c:v>
                </c:pt>
              </c:strCache>
            </c:strRef>
          </c:tx>
          <c:dPt>
            <c:idx val="0"/>
            <c:bubble3D val="0"/>
            <c:spPr>
              <a:solidFill>
                <a:srgbClr val="046664"/>
              </a:solidFill>
              <a:ln>
                <a:noFill/>
              </a:ln>
              <a:effectLst/>
            </c:spPr>
            <c:extLst>
              <c:ext xmlns:c16="http://schemas.microsoft.com/office/drawing/2014/chart" uri="{C3380CC4-5D6E-409C-BE32-E72D297353CC}">
                <c16:uniqueId val="{00000001-4774-DD45-9350-AD619466C28F}"/>
              </c:ext>
            </c:extLst>
          </c:dPt>
          <c:dPt>
            <c:idx val="1"/>
            <c:bubble3D val="0"/>
            <c:spPr>
              <a:solidFill>
                <a:srgbClr val="CC0204"/>
              </a:solidFill>
              <a:ln>
                <a:noFill/>
              </a:ln>
              <a:effectLst/>
            </c:spPr>
            <c:extLst>
              <c:ext xmlns:c16="http://schemas.microsoft.com/office/drawing/2014/chart" uri="{C3380CC4-5D6E-409C-BE32-E72D297353CC}">
                <c16:uniqueId val="{00000003-4774-DD45-9350-AD619466C28F}"/>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(Aggregate!$M$4,Aggregate!$S$4)</c:f>
              <c:numCache>
                <c:formatCode>General</c:formatCode>
                <c:ptCount val="2"/>
                <c:pt idx="0">
                  <c:v>14</c:v>
                </c:pt>
                <c:pt idx="1">
                  <c:v>0</c:v>
                </c:pt>
              </c:numCache>
            </c:numRef>
          </c:val>
          <c:extLst xmlns:c15="http://schemas.microsoft.com/office/drawing/2012/chart">
            <c:ext xmlns:c16="http://schemas.microsoft.com/office/drawing/2014/chart" uri="{C3380CC4-5D6E-409C-BE32-E72D297353CC}">
              <c16:uniqueId val="{00000004-4774-DD45-9350-AD619466C28F}"/>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Aggregate!$J$4</c:f>
              <c:strCache>
                <c:ptCount val="1"/>
                <c:pt idx="0">
                  <c:v>CPM</c:v>
                </c:pt>
              </c:strCache>
            </c:strRef>
          </c:tx>
          <c:dPt>
            <c:idx val="0"/>
            <c:bubble3D val="0"/>
            <c:spPr>
              <a:solidFill>
                <a:srgbClr val="046664"/>
              </a:solidFill>
              <a:ln>
                <a:noFill/>
              </a:ln>
              <a:effectLst/>
            </c:spPr>
            <c:extLst>
              <c:ext xmlns:c16="http://schemas.microsoft.com/office/drawing/2014/chart" uri="{C3380CC4-5D6E-409C-BE32-E72D297353CC}">
                <c16:uniqueId val="{00000001-FDC3-D346-BEB2-92FA48426A61}"/>
              </c:ext>
            </c:extLst>
          </c:dPt>
          <c:dPt>
            <c:idx val="1"/>
            <c:bubble3D val="0"/>
            <c:spPr>
              <a:solidFill>
                <a:srgbClr val="CC0204"/>
              </a:solidFill>
              <a:ln>
                <a:noFill/>
              </a:ln>
              <a:effectLst/>
            </c:spPr>
            <c:extLst>
              <c:ext xmlns:c16="http://schemas.microsoft.com/office/drawing/2014/chart" uri="{C3380CC4-5D6E-409C-BE32-E72D297353CC}">
                <c16:uniqueId val="{00000003-FDC3-D346-BEB2-92FA48426A61}"/>
              </c:ext>
            </c:extLst>
          </c:dPt>
          <c:dPt>
            <c:idx val="2"/>
            <c:bubble3D val="0"/>
            <c:spPr>
              <a:solidFill>
                <a:schemeClr val="accent3"/>
              </a:solidFill>
              <a:ln>
                <a:noFill/>
              </a:ln>
              <a:effectLst/>
            </c:spPr>
            <c:extLst>
              <c:ext xmlns:c16="http://schemas.microsoft.com/office/drawing/2014/chart" uri="{C3380CC4-5D6E-409C-BE32-E72D297353CC}">
                <c16:uniqueId val="{00000005-FDC3-D346-BEB2-92FA48426A61}"/>
              </c:ext>
            </c:extLst>
          </c:dPt>
          <c:dPt>
            <c:idx val="3"/>
            <c:bubble3D val="0"/>
            <c:spPr>
              <a:solidFill>
                <a:srgbClr val="CC0204"/>
              </a:solidFill>
              <a:ln>
                <a:noFill/>
              </a:ln>
              <a:effectLst/>
            </c:spPr>
            <c:extLst>
              <c:ext xmlns:c16="http://schemas.microsoft.com/office/drawing/2014/chart" uri="{C3380CC4-5D6E-409C-BE32-E72D297353CC}">
                <c16:uniqueId val="{00000007-FDC3-D346-BEB2-92FA48426A61}"/>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(Aggregate!$K$4,Aggregate!$Q$4)</c:f>
              <c:numCache>
                <c:formatCode>General</c:formatCode>
                <c:ptCount val="2"/>
                <c:pt idx="0">
                  <c:v>4</c:v>
                </c:pt>
                <c:pt idx="1">
                  <c:v>0</c:v>
                </c:pt>
              </c:numCache>
            </c:numRef>
          </c:val>
          <c:extLst>
            <c:ext xmlns:c16="http://schemas.microsoft.com/office/drawing/2014/chart" uri="{C3380CC4-5D6E-409C-BE32-E72D297353CC}">
              <c16:uniqueId val="{00000008-FDC3-D346-BEB2-92FA48426A61}"/>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8"/>
          <c:order val="0"/>
          <c:tx>
            <c:strRef>
              <c:f>Aggregate!$J$2</c:f>
              <c:strCache>
                <c:ptCount val="1"/>
                <c:pt idx="0">
                  <c:v>ACM</c:v>
                </c:pt>
              </c:strCache>
            </c:strRef>
          </c:tx>
          <c:dPt>
            <c:idx val="0"/>
            <c:bubble3D val="0"/>
            <c:spPr>
              <a:solidFill>
                <a:srgbClr val="046664"/>
              </a:solidFill>
              <a:ln>
                <a:noFill/>
              </a:ln>
              <a:effectLst/>
            </c:spPr>
            <c:extLst>
              <c:ext xmlns:c16="http://schemas.microsoft.com/office/drawing/2014/chart" uri="{C3380CC4-5D6E-409C-BE32-E72D297353CC}">
                <c16:uniqueId val="{00000001-D47B-944B-A4F8-5E7786EC0D16}"/>
              </c:ext>
            </c:extLst>
          </c:dPt>
          <c:dPt>
            <c:idx val="1"/>
            <c:bubble3D val="0"/>
            <c:spPr>
              <a:solidFill>
                <a:srgbClr val="CC0204"/>
              </a:solidFill>
              <a:ln>
                <a:noFill/>
              </a:ln>
              <a:effectLst/>
            </c:spPr>
            <c:extLst>
              <c:ext xmlns:c16="http://schemas.microsoft.com/office/drawing/2014/chart" uri="{C3380CC4-5D6E-409C-BE32-E72D297353CC}">
                <c16:uniqueId val="{00000003-D47B-944B-A4F8-5E7786EC0D16}"/>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(Aggregate!$O$1,Aggregate!$U$1)</c:f>
              <c:strCache>
                <c:ptCount val="2"/>
                <c:pt idx="0">
                  <c:v>MIL 3 Complete</c:v>
                </c:pt>
                <c:pt idx="1">
                  <c:v>MIL 3 Not Complete</c:v>
                </c:pt>
              </c:strCache>
            </c:strRef>
          </c:cat>
          <c:val>
            <c:numRef>
              <c:f>(Aggregate!$O$2,Aggregate!$U$2)</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4-D47B-944B-A4F8-5E7786EC0D16}"/>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8"/>
          <c:order val="0"/>
          <c:tx>
            <c:strRef>
              <c:f>Aggregate!$J$2</c:f>
              <c:strCache>
                <c:ptCount val="1"/>
                <c:pt idx="0">
                  <c:v>ACM</c:v>
                </c:pt>
              </c:strCache>
            </c:strRef>
          </c:tx>
          <c:dPt>
            <c:idx val="0"/>
            <c:bubble3D val="0"/>
            <c:spPr>
              <a:solidFill>
                <a:srgbClr val="046664"/>
              </a:solidFill>
              <a:ln>
                <a:noFill/>
              </a:ln>
              <a:effectLst/>
            </c:spPr>
            <c:extLst>
              <c:ext xmlns:c16="http://schemas.microsoft.com/office/drawing/2014/chart" uri="{C3380CC4-5D6E-409C-BE32-E72D297353CC}">
                <c16:uniqueId val="{00000001-A6DA-1241-AC48-D30A0A95459D}"/>
              </c:ext>
            </c:extLst>
          </c:dPt>
          <c:dPt>
            <c:idx val="1"/>
            <c:bubble3D val="0"/>
            <c:spPr>
              <a:solidFill>
                <a:srgbClr val="CC0204"/>
              </a:solidFill>
              <a:ln>
                <a:noFill/>
              </a:ln>
              <a:effectLst/>
            </c:spPr>
            <c:extLst>
              <c:ext xmlns:c16="http://schemas.microsoft.com/office/drawing/2014/chart" uri="{C3380CC4-5D6E-409C-BE32-E72D297353CC}">
                <c16:uniqueId val="{00000003-A6DA-1241-AC48-D30A0A95459D}"/>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(Aggregate!$M$1,Aggregate!$S$1)</c:f>
              <c:strCache>
                <c:ptCount val="2"/>
                <c:pt idx="0">
                  <c:v>MIL 2 Complete</c:v>
                </c:pt>
                <c:pt idx="1">
                  <c:v>MIL 2 Not Complete</c:v>
                </c:pt>
              </c:strCache>
            </c:strRef>
          </c:cat>
          <c:val>
            <c:numRef>
              <c:f>(Aggregate!$M$2,Aggregate!$S$2)</c:f>
              <c:numCache>
                <c:formatCode>General</c:formatCode>
                <c:ptCount val="2"/>
                <c:pt idx="0">
                  <c:v>0</c:v>
                </c:pt>
                <c:pt idx="1">
                  <c:v>5</c:v>
                </c:pt>
              </c:numCache>
            </c:numRef>
          </c:val>
          <c:extLst xmlns:c15="http://schemas.microsoft.com/office/drawing/2012/chart">
            <c:ext xmlns:c16="http://schemas.microsoft.com/office/drawing/2014/chart" uri="{C3380CC4-5D6E-409C-BE32-E72D297353CC}">
              <c16:uniqueId val="{00000004-A6DA-1241-AC48-D30A0A95459D}"/>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8"/>
          <c:order val="0"/>
          <c:tx>
            <c:strRef>
              <c:f>Aggregate!$J$2</c:f>
              <c:strCache>
                <c:ptCount val="1"/>
                <c:pt idx="0">
                  <c:v>ACM</c:v>
                </c:pt>
              </c:strCache>
            </c:strRef>
          </c:tx>
          <c:dPt>
            <c:idx val="0"/>
            <c:bubble3D val="0"/>
            <c:spPr>
              <a:solidFill>
                <a:srgbClr val="046664"/>
              </a:solidFill>
              <a:ln>
                <a:noFill/>
              </a:ln>
              <a:effectLst/>
            </c:spPr>
            <c:extLst xmlns:c15="http://schemas.microsoft.com/office/drawing/2012/chart">
              <c:ext xmlns:c16="http://schemas.microsoft.com/office/drawing/2014/chart" uri="{C3380CC4-5D6E-409C-BE32-E72D297353CC}">
                <c16:uniqueId val="{00000001-1FAB-8649-9F47-040EAA66F871}"/>
              </c:ext>
            </c:extLst>
          </c:dPt>
          <c:dPt>
            <c:idx val="1"/>
            <c:bubble3D val="0"/>
            <c:spPr>
              <a:solidFill>
                <a:srgbClr val="CC0204"/>
              </a:solidFill>
              <a:ln>
                <a:noFill/>
              </a:ln>
              <a:effectLst/>
            </c:spPr>
            <c:extLst>
              <c:ext xmlns:c16="http://schemas.microsoft.com/office/drawing/2014/chart" uri="{C3380CC4-5D6E-409C-BE32-E72D297353CC}">
                <c16:uniqueId val="{00000003-1FAB-8649-9F47-040EAA66F871}"/>
              </c:ext>
            </c:extLst>
          </c:dPt>
          <c:dPt>
            <c:idx val="2"/>
            <c:bubble3D val="0"/>
            <c:spPr>
              <a:solidFill>
                <a:schemeClr val="accent3"/>
              </a:solidFill>
              <a:ln>
                <a:noFill/>
              </a:ln>
              <a:effectLst/>
            </c:spPr>
            <c:extLst>
              <c:ext xmlns:c16="http://schemas.microsoft.com/office/drawing/2014/chart" uri="{C3380CC4-5D6E-409C-BE32-E72D297353CC}">
                <c16:uniqueId val="{00000005-1FAB-8649-9F47-040EAA66F871}"/>
              </c:ext>
            </c:extLst>
          </c:dPt>
          <c:dPt>
            <c:idx val="3"/>
            <c:bubble3D val="0"/>
            <c:spPr>
              <a:solidFill>
                <a:srgbClr val="CC0204"/>
              </a:solidFill>
              <a:ln>
                <a:noFill/>
              </a:ln>
              <a:effectLst/>
            </c:spPr>
            <c:extLst>
              <c:ext xmlns:c16="http://schemas.microsoft.com/office/drawing/2014/chart" uri="{C3380CC4-5D6E-409C-BE32-E72D297353CC}">
                <c16:uniqueId val="{00000007-1FAB-8649-9F47-040EAA66F871}"/>
              </c:ext>
            </c:extLst>
          </c:dPt>
          <c:dLbls>
            <c:spPr>
              <a:noFill/>
              <a:ln>
                <a:noFill/>
              </a:ln>
              <a:effectLst/>
            </c:spPr>
            <c:txPr>
              <a:bodyPr rot="0" spcFirstLastPara="1" vertOverflow="ellipsis" vert="horz" wrap="square" anchor="ctr" anchorCtr="1"/>
              <a:lstStyle/>
              <a:p>
                <a:pPr>
                  <a:defRPr sz="700" b="1" i="0" u="none" strike="noStrike" kern="1200" baseline="0">
                    <a:solidFill>
                      <a:schemeClr val="bg1"/>
                    </a:solidFill>
                    <a:latin typeface="+mn-lt"/>
                    <a:ea typeface="Roboto" panose="02000000000000000000" pitchFamily="2" charset="0"/>
                    <a:cs typeface="+mn-cs"/>
                  </a:defRPr>
                </a:pPr>
                <a:endParaRPr lang="en-US"/>
              </a:p>
            </c:txPr>
            <c:showLegendKey val="0"/>
            <c:showVal val="1"/>
            <c:showCatName val="0"/>
            <c:showSerName val="0"/>
            <c:showPercent val="1"/>
            <c:showBubbleSize val="0"/>
            <c:separator>
</c:separator>
            <c:showLeaderLines val="1"/>
            <c:leaderLines>
              <c:spPr>
                <a:ln w="6350" cap="flat" cmpd="sng" algn="ctr">
                  <a:solidFill>
                    <a:schemeClr val="tx1"/>
                  </a:solidFill>
                  <a:prstDash val="solid"/>
                  <a:round/>
                </a:ln>
                <a:effectLst/>
              </c:spPr>
            </c:leaderLines>
            <c:extLst xmlns:c15="http://schemas.microsoft.com/office/drawing/2012/chart">
              <c:ext xmlns:c15="http://schemas.microsoft.com/office/drawing/2012/chart" uri="{CE6537A1-D6FC-4f65-9D91-7224C49458BB}"/>
            </c:extLst>
          </c:dLbls>
          <c:cat>
            <c:strRef>
              <c:f>(Aggregate!$K$1,Aggregate!$Q$1)</c:f>
              <c:strCache>
                <c:ptCount val="2"/>
                <c:pt idx="0">
                  <c:v>MIL 1 Complete</c:v>
                </c:pt>
                <c:pt idx="1">
                  <c:v>MIL 1 Not Complete</c:v>
                </c:pt>
              </c:strCache>
            </c:strRef>
          </c:cat>
          <c:val>
            <c:numRef>
              <c:f>(Aggregate!$K$2,Aggregate!$Q$2)</c:f>
              <c:numCache>
                <c:formatCode>General</c:formatCode>
                <c:ptCount val="2"/>
                <c:pt idx="0">
                  <c:v>0</c:v>
                </c:pt>
                <c:pt idx="1">
                  <c:v>6</c:v>
                </c:pt>
              </c:numCache>
            </c:numRef>
          </c:val>
          <c:extLst xmlns:c15="http://schemas.microsoft.com/office/drawing/2012/chart">
            <c:ext xmlns:c16="http://schemas.microsoft.com/office/drawing/2014/chart" uri="{C3380CC4-5D6E-409C-BE32-E72D297353CC}">
              <c16:uniqueId val="{00000008-1FAB-8649-9F47-040EAA66F871}"/>
            </c:ext>
          </c:extLst>
        </c:ser>
        <c:dLbls>
          <c:showLegendKey val="0"/>
          <c:showVal val="1"/>
          <c:showCatName val="0"/>
          <c:showSerName val="0"/>
          <c:showPercent val="0"/>
          <c:showBubbleSize val="0"/>
          <c:showLeaderLines val="1"/>
        </c:dLbls>
        <c:firstSliceAng val="0"/>
        <c:holeSize val="50"/>
        <c:extLst/>
      </c:doughnutChart>
      <c:spPr>
        <a:noFill/>
        <a:ln>
          <a:noFill/>
        </a:ln>
        <a:effectLst/>
      </c:spPr>
    </c:plotArea>
    <c:plotVisOnly val="1"/>
    <c:dispBlanksAs val="gap"/>
    <c:showDLblsOverMax val="0"/>
  </c:chart>
  <c:spPr>
    <a:noFill/>
    <a:ln w="6350" cap="flat" cmpd="sng" algn="ctr">
      <a:noFill/>
      <a:prstDash val="solid"/>
      <a:round/>
    </a:ln>
    <a:effectLst/>
  </c:spPr>
  <c:txPr>
    <a:bodyPr/>
    <a:lstStyle/>
    <a:p>
      <a:pPr>
        <a:defRPr sz="700" b="1">
          <a:solidFill>
            <a:schemeClr val="bg1"/>
          </a:solidFill>
          <a:latin typeface="+mn-lt"/>
          <a:ea typeface="Roboto" panose="02000000000000000000" pitchFamily="2"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8" Type="http://schemas.openxmlformats.org/officeDocument/2006/relationships/chart" Target="../charts/chart8.xml"/><Relationship Id="rId3"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0</xdr:colOff>
      <xdr:row>10</xdr:row>
      <xdr:rowOff>12700</xdr:rowOff>
    </xdr:to>
    <xdr:pic>
      <xdr:nvPicPr>
        <xdr:cNvPr id="4" name="Picture 3">
          <a:extLst>
            <a:ext uri="{FF2B5EF4-FFF2-40B4-BE49-F238E27FC236}">
              <a16:creationId xmlns:a16="http://schemas.microsoft.com/office/drawing/2014/main" id="{E68DF0D3-598F-5E4A-BA32-7A70B01592B5}"/>
            </a:ext>
          </a:extLst>
        </xdr:cNvPr>
        <xdr:cNvPicPr>
          <a:picLocks noChangeAspect="1"/>
        </xdr:cNvPicPr>
      </xdr:nvPicPr>
      <xdr:blipFill>
        <a:blip xmlns:r="http://schemas.openxmlformats.org/officeDocument/2006/relationships" r:embed="rId1"/>
        <a:stretch>
          <a:fillRect/>
        </a:stretch>
      </xdr:blipFill>
      <xdr:spPr>
        <a:xfrm>
          <a:off x="0" y="0"/>
          <a:ext cx="7556500" cy="1790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12</xdr:row>
      <xdr:rowOff>0</xdr:rowOff>
    </xdr:from>
    <xdr:to>
      <xdr:col>2</xdr:col>
      <xdr:colOff>1440000</xdr:colOff>
      <xdr:row>12</xdr:row>
      <xdr:rowOff>1440000</xdr:rowOff>
    </xdr:to>
    <xdr:graphicFrame macro="">
      <xdr:nvGraphicFramePr>
        <xdr:cNvPr id="95" name="RM_MIL3">
          <a:extLst>
            <a:ext uri="{FF2B5EF4-FFF2-40B4-BE49-F238E27FC236}">
              <a16:creationId xmlns:a16="http://schemas.microsoft.com/office/drawing/2014/main" id="{70BFB85F-FDCA-A344-893E-4614A974F1E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13</xdr:row>
      <xdr:rowOff>0</xdr:rowOff>
    </xdr:from>
    <xdr:to>
      <xdr:col>2</xdr:col>
      <xdr:colOff>1440000</xdr:colOff>
      <xdr:row>13</xdr:row>
      <xdr:rowOff>1440000</xdr:rowOff>
    </xdr:to>
    <xdr:graphicFrame macro="">
      <xdr:nvGraphicFramePr>
        <xdr:cNvPr id="110" name="RM_MIL2">
          <a:extLst>
            <a:ext uri="{FF2B5EF4-FFF2-40B4-BE49-F238E27FC236}">
              <a16:creationId xmlns:a16="http://schemas.microsoft.com/office/drawing/2014/main" id="{AC128360-198F-274E-BD3D-82CFA324187D}"/>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14</xdr:row>
      <xdr:rowOff>0</xdr:rowOff>
    </xdr:from>
    <xdr:to>
      <xdr:col>2</xdr:col>
      <xdr:colOff>1440000</xdr:colOff>
      <xdr:row>14</xdr:row>
      <xdr:rowOff>1440000</xdr:rowOff>
    </xdr:to>
    <xdr:graphicFrame macro="">
      <xdr:nvGraphicFramePr>
        <xdr:cNvPr id="111" name="RM_MIL1">
          <a:extLst>
            <a:ext uri="{FF2B5EF4-FFF2-40B4-BE49-F238E27FC236}">
              <a16:creationId xmlns:a16="http://schemas.microsoft.com/office/drawing/2014/main" id="{43D804EA-6C23-AC46-A31A-691368D7E2AE}"/>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0</xdr:colOff>
      <xdr:row>12</xdr:row>
      <xdr:rowOff>0</xdr:rowOff>
    </xdr:from>
    <xdr:to>
      <xdr:col>3</xdr:col>
      <xdr:colOff>1440000</xdr:colOff>
      <xdr:row>12</xdr:row>
      <xdr:rowOff>1440000</xdr:rowOff>
    </xdr:to>
    <xdr:graphicFrame macro="">
      <xdr:nvGraphicFramePr>
        <xdr:cNvPr id="113" name="CPM_MIL3">
          <a:extLst>
            <a:ext uri="{FF2B5EF4-FFF2-40B4-BE49-F238E27FC236}">
              <a16:creationId xmlns:a16="http://schemas.microsoft.com/office/drawing/2014/main" id="{73C5A112-C4FF-F044-BD47-0C00C43E86D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0</xdr:colOff>
      <xdr:row>13</xdr:row>
      <xdr:rowOff>0</xdr:rowOff>
    </xdr:from>
    <xdr:to>
      <xdr:col>3</xdr:col>
      <xdr:colOff>1440000</xdr:colOff>
      <xdr:row>13</xdr:row>
      <xdr:rowOff>1440000</xdr:rowOff>
    </xdr:to>
    <xdr:graphicFrame macro="">
      <xdr:nvGraphicFramePr>
        <xdr:cNvPr id="114" name="CPM_MIL2">
          <a:extLst>
            <a:ext uri="{FF2B5EF4-FFF2-40B4-BE49-F238E27FC236}">
              <a16:creationId xmlns:a16="http://schemas.microsoft.com/office/drawing/2014/main" id="{0656FCF9-5020-D043-A8C4-084D2734D9E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0</xdr:colOff>
      <xdr:row>14</xdr:row>
      <xdr:rowOff>0</xdr:rowOff>
    </xdr:from>
    <xdr:to>
      <xdr:col>3</xdr:col>
      <xdr:colOff>1440000</xdr:colOff>
      <xdr:row>14</xdr:row>
      <xdr:rowOff>1440000</xdr:rowOff>
    </xdr:to>
    <xdr:graphicFrame macro="">
      <xdr:nvGraphicFramePr>
        <xdr:cNvPr id="115" name="CPM_MIL1">
          <a:extLst>
            <a:ext uri="{FF2B5EF4-FFF2-40B4-BE49-F238E27FC236}">
              <a16:creationId xmlns:a16="http://schemas.microsoft.com/office/drawing/2014/main" id="{E9953D47-D440-024D-9405-F81CFD94233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12</xdr:row>
      <xdr:rowOff>0</xdr:rowOff>
    </xdr:from>
    <xdr:to>
      <xdr:col>4</xdr:col>
      <xdr:colOff>1440000</xdr:colOff>
      <xdr:row>12</xdr:row>
      <xdr:rowOff>1440000</xdr:rowOff>
    </xdr:to>
    <xdr:graphicFrame macro="">
      <xdr:nvGraphicFramePr>
        <xdr:cNvPr id="116" name="ACM_MIL3">
          <a:extLst>
            <a:ext uri="{FF2B5EF4-FFF2-40B4-BE49-F238E27FC236}">
              <a16:creationId xmlns:a16="http://schemas.microsoft.com/office/drawing/2014/main" id="{A4053280-D708-DF41-8611-E6BB72D79DF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13</xdr:row>
      <xdr:rowOff>0</xdr:rowOff>
    </xdr:from>
    <xdr:to>
      <xdr:col>4</xdr:col>
      <xdr:colOff>1440000</xdr:colOff>
      <xdr:row>13</xdr:row>
      <xdr:rowOff>1440000</xdr:rowOff>
    </xdr:to>
    <xdr:graphicFrame macro="">
      <xdr:nvGraphicFramePr>
        <xdr:cNvPr id="117" name="ACM_MIL2">
          <a:extLst>
            <a:ext uri="{FF2B5EF4-FFF2-40B4-BE49-F238E27FC236}">
              <a16:creationId xmlns:a16="http://schemas.microsoft.com/office/drawing/2014/main" id="{BEEEEA79-D7E1-3146-A55D-F86D6D0F723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14</xdr:row>
      <xdr:rowOff>0</xdr:rowOff>
    </xdr:from>
    <xdr:to>
      <xdr:col>4</xdr:col>
      <xdr:colOff>1440000</xdr:colOff>
      <xdr:row>14</xdr:row>
      <xdr:rowOff>1440000</xdr:rowOff>
    </xdr:to>
    <xdr:graphicFrame macro="">
      <xdr:nvGraphicFramePr>
        <xdr:cNvPr id="118" name="ACM_MIL1">
          <a:extLst>
            <a:ext uri="{FF2B5EF4-FFF2-40B4-BE49-F238E27FC236}">
              <a16:creationId xmlns:a16="http://schemas.microsoft.com/office/drawing/2014/main" id="{3D931C65-7C22-6044-BB66-0ADDFE7D055D}"/>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0</xdr:colOff>
      <xdr:row>12</xdr:row>
      <xdr:rowOff>0</xdr:rowOff>
    </xdr:from>
    <xdr:to>
      <xdr:col>5</xdr:col>
      <xdr:colOff>1440000</xdr:colOff>
      <xdr:row>12</xdr:row>
      <xdr:rowOff>1440000</xdr:rowOff>
    </xdr:to>
    <xdr:graphicFrame macro="">
      <xdr:nvGraphicFramePr>
        <xdr:cNvPr id="119" name="IAM_MIL3">
          <a:extLst>
            <a:ext uri="{FF2B5EF4-FFF2-40B4-BE49-F238E27FC236}">
              <a16:creationId xmlns:a16="http://schemas.microsoft.com/office/drawing/2014/main" id="{DE3E7AE4-5A64-194F-861B-8BDA7C4D0C2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0</xdr:colOff>
      <xdr:row>13</xdr:row>
      <xdr:rowOff>0</xdr:rowOff>
    </xdr:from>
    <xdr:to>
      <xdr:col>5</xdr:col>
      <xdr:colOff>1440000</xdr:colOff>
      <xdr:row>13</xdr:row>
      <xdr:rowOff>1440000</xdr:rowOff>
    </xdr:to>
    <xdr:graphicFrame macro="">
      <xdr:nvGraphicFramePr>
        <xdr:cNvPr id="120" name="IAM_MIL2">
          <a:extLst>
            <a:ext uri="{FF2B5EF4-FFF2-40B4-BE49-F238E27FC236}">
              <a16:creationId xmlns:a16="http://schemas.microsoft.com/office/drawing/2014/main" id="{6BCA7163-9D07-BF48-8111-E88DD8F2EA7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0</xdr:colOff>
      <xdr:row>14</xdr:row>
      <xdr:rowOff>0</xdr:rowOff>
    </xdr:from>
    <xdr:to>
      <xdr:col>5</xdr:col>
      <xdr:colOff>1440000</xdr:colOff>
      <xdr:row>14</xdr:row>
      <xdr:rowOff>1440000</xdr:rowOff>
    </xdr:to>
    <xdr:graphicFrame macro="">
      <xdr:nvGraphicFramePr>
        <xdr:cNvPr id="121" name="IAM_MIL1">
          <a:extLst>
            <a:ext uri="{FF2B5EF4-FFF2-40B4-BE49-F238E27FC236}">
              <a16:creationId xmlns:a16="http://schemas.microsoft.com/office/drawing/2014/main" id="{04FD3E02-692C-F04E-9FEB-54007A1255F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0</xdr:colOff>
      <xdr:row>12</xdr:row>
      <xdr:rowOff>0</xdr:rowOff>
    </xdr:from>
    <xdr:to>
      <xdr:col>6</xdr:col>
      <xdr:colOff>1440000</xdr:colOff>
      <xdr:row>12</xdr:row>
      <xdr:rowOff>1440000</xdr:rowOff>
    </xdr:to>
    <xdr:graphicFrame macro="">
      <xdr:nvGraphicFramePr>
        <xdr:cNvPr id="122" name="ISC_MIL3">
          <a:extLst>
            <a:ext uri="{FF2B5EF4-FFF2-40B4-BE49-F238E27FC236}">
              <a16:creationId xmlns:a16="http://schemas.microsoft.com/office/drawing/2014/main" id="{03EC4778-1E9C-AC4D-B920-A5B52A393B0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xdr:col>
      <xdr:colOff>0</xdr:colOff>
      <xdr:row>13</xdr:row>
      <xdr:rowOff>0</xdr:rowOff>
    </xdr:from>
    <xdr:to>
      <xdr:col>6</xdr:col>
      <xdr:colOff>1440000</xdr:colOff>
      <xdr:row>13</xdr:row>
      <xdr:rowOff>1440000</xdr:rowOff>
    </xdr:to>
    <xdr:graphicFrame macro="">
      <xdr:nvGraphicFramePr>
        <xdr:cNvPr id="127" name="ISC_MIL2">
          <a:extLst>
            <a:ext uri="{FF2B5EF4-FFF2-40B4-BE49-F238E27FC236}">
              <a16:creationId xmlns:a16="http://schemas.microsoft.com/office/drawing/2014/main" id="{E51ACC70-77D8-8F49-8E9C-3DB2FD646CF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6</xdr:col>
      <xdr:colOff>0</xdr:colOff>
      <xdr:row>14</xdr:row>
      <xdr:rowOff>0</xdr:rowOff>
    </xdr:from>
    <xdr:to>
      <xdr:col>6</xdr:col>
      <xdr:colOff>1440000</xdr:colOff>
      <xdr:row>14</xdr:row>
      <xdr:rowOff>1440000</xdr:rowOff>
    </xdr:to>
    <xdr:graphicFrame macro="">
      <xdr:nvGraphicFramePr>
        <xdr:cNvPr id="129" name="ISC_MIL1">
          <a:extLst>
            <a:ext uri="{FF2B5EF4-FFF2-40B4-BE49-F238E27FC236}">
              <a16:creationId xmlns:a16="http://schemas.microsoft.com/office/drawing/2014/main" id="{FFF80DBC-9925-6944-8729-56766F6572D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0</xdr:colOff>
      <xdr:row>12</xdr:row>
      <xdr:rowOff>0</xdr:rowOff>
    </xdr:from>
    <xdr:to>
      <xdr:col>7</xdr:col>
      <xdr:colOff>1440000</xdr:colOff>
      <xdr:row>12</xdr:row>
      <xdr:rowOff>1440000</xdr:rowOff>
    </xdr:to>
    <xdr:graphicFrame macro="">
      <xdr:nvGraphicFramePr>
        <xdr:cNvPr id="130" name="TVM_MIL3">
          <a:extLst>
            <a:ext uri="{FF2B5EF4-FFF2-40B4-BE49-F238E27FC236}">
              <a16:creationId xmlns:a16="http://schemas.microsoft.com/office/drawing/2014/main" id="{C5701708-02C8-624B-BF83-790A5937528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7</xdr:col>
      <xdr:colOff>0</xdr:colOff>
      <xdr:row>13</xdr:row>
      <xdr:rowOff>0</xdr:rowOff>
    </xdr:from>
    <xdr:to>
      <xdr:col>7</xdr:col>
      <xdr:colOff>1440000</xdr:colOff>
      <xdr:row>13</xdr:row>
      <xdr:rowOff>1440000</xdr:rowOff>
    </xdr:to>
    <xdr:graphicFrame macro="">
      <xdr:nvGraphicFramePr>
        <xdr:cNvPr id="131" name="TVM_MIL2">
          <a:extLst>
            <a:ext uri="{FF2B5EF4-FFF2-40B4-BE49-F238E27FC236}">
              <a16:creationId xmlns:a16="http://schemas.microsoft.com/office/drawing/2014/main" id="{62FD0CA2-63A3-A84E-8C56-AF0615B1D0C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0</xdr:colOff>
      <xdr:row>14</xdr:row>
      <xdr:rowOff>0</xdr:rowOff>
    </xdr:from>
    <xdr:to>
      <xdr:col>7</xdr:col>
      <xdr:colOff>1440000</xdr:colOff>
      <xdr:row>14</xdr:row>
      <xdr:rowOff>1440000</xdr:rowOff>
    </xdr:to>
    <xdr:graphicFrame macro="">
      <xdr:nvGraphicFramePr>
        <xdr:cNvPr id="132" name="TVM_MIL1">
          <a:extLst>
            <a:ext uri="{FF2B5EF4-FFF2-40B4-BE49-F238E27FC236}">
              <a16:creationId xmlns:a16="http://schemas.microsoft.com/office/drawing/2014/main" id="{DC884A9D-D8EA-4243-AB98-6917BF913F8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xdr:col>
      <xdr:colOff>0</xdr:colOff>
      <xdr:row>12</xdr:row>
      <xdr:rowOff>0</xdr:rowOff>
    </xdr:from>
    <xdr:to>
      <xdr:col>8</xdr:col>
      <xdr:colOff>1440000</xdr:colOff>
      <xdr:row>12</xdr:row>
      <xdr:rowOff>1440000</xdr:rowOff>
    </xdr:to>
    <xdr:graphicFrame macro="">
      <xdr:nvGraphicFramePr>
        <xdr:cNvPr id="133" name="SA_MIL3">
          <a:extLst>
            <a:ext uri="{FF2B5EF4-FFF2-40B4-BE49-F238E27FC236}">
              <a16:creationId xmlns:a16="http://schemas.microsoft.com/office/drawing/2014/main" id="{C8CE0E4D-C8DC-B84F-8858-FA600CE5C79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8</xdr:col>
      <xdr:colOff>0</xdr:colOff>
      <xdr:row>13</xdr:row>
      <xdr:rowOff>0</xdr:rowOff>
    </xdr:from>
    <xdr:to>
      <xdr:col>8</xdr:col>
      <xdr:colOff>1440000</xdr:colOff>
      <xdr:row>13</xdr:row>
      <xdr:rowOff>1440000</xdr:rowOff>
    </xdr:to>
    <xdr:graphicFrame macro="">
      <xdr:nvGraphicFramePr>
        <xdr:cNvPr id="134" name="SA_MIL2">
          <a:extLst>
            <a:ext uri="{FF2B5EF4-FFF2-40B4-BE49-F238E27FC236}">
              <a16:creationId xmlns:a16="http://schemas.microsoft.com/office/drawing/2014/main" id="{6610533E-93D2-7140-B918-26A5480D0F1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8</xdr:col>
      <xdr:colOff>0</xdr:colOff>
      <xdr:row>14</xdr:row>
      <xdr:rowOff>0</xdr:rowOff>
    </xdr:from>
    <xdr:to>
      <xdr:col>8</xdr:col>
      <xdr:colOff>1440000</xdr:colOff>
      <xdr:row>14</xdr:row>
      <xdr:rowOff>1440000</xdr:rowOff>
    </xdr:to>
    <xdr:graphicFrame macro="">
      <xdr:nvGraphicFramePr>
        <xdr:cNvPr id="135" name="SA_MIL1">
          <a:extLst>
            <a:ext uri="{FF2B5EF4-FFF2-40B4-BE49-F238E27FC236}">
              <a16:creationId xmlns:a16="http://schemas.microsoft.com/office/drawing/2014/main" id="{26400ADF-9D9E-F14B-8E7A-E1B7431E36E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9</xdr:col>
      <xdr:colOff>0</xdr:colOff>
      <xdr:row>12</xdr:row>
      <xdr:rowOff>0</xdr:rowOff>
    </xdr:from>
    <xdr:to>
      <xdr:col>9</xdr:col>
      <xdr:colOff>1440000</xdr:colOff>
      <xdr:row>12</xdr:row>
      <xdr:rowOff>1440000</xdr:rowOff>
    </xdr:to>
    <xdr:graphicFrame macro="">
      <xdr:nvGraphicFramePr>
        <xdr:cNvPr id="136" name="IR_MIL3">
          <a:extLst>
            <a:ext uri="{FF2B5EF4-FFF2-40B4-BE49-F238E27FC236}">
              <a16:creationId xmlns:a16="http://schemas.microsoft.com/office/drawing/2014/main" id="{BAB23E94-5219-644A-9CCC-1C881844A4E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9</xdr:col>
      <xdr:colOff>0</xdr:colOff>
      <xdr:row>13</xdr:row>
      <xdr:rowOff>0</xdr:rowOff>
    </xdr:from>
    <xdr:to>
      <xdr:col>9</xdr:col>
      <xdr:colOff>1440000</xdr:colOff>
      <xdr:row>13</xdr:row>
      <xdr:rowOff>1440000</xdr:rowOff>
    </xdr:to>
    <xdr:graphicFrame macro="">
      <xdr:nvGraphicFramePr>
        <xdr:cNvPr id="137" name="IR_MIL2">
          <a:extLst>
            <a:ext uri="{FF2B5EF4-FFF2-40B4-BE49-F238E27FC236}">
              <a16:creationId xmlns:a16="http://schemas.microsoft.com/office/drawing/2014/main" id="{F2170B6B-1666-584A-91FF-10025FF0A67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9</xdr:col>
      <xdr:colOff>0</xdr:colOff>
      <xdr:row>14</xdr:row>
      <xdr:rowOff>0</xdr:rowOff>
    </xdr:from>
    <xdr:to>
      <xdr:col>9</xdr:col>
      <xdr:colOff>1440000</xdr:colOff>
      <xdr:row>14</xdr:row>
      <xdr:rowOff>1440000</xdr:rowOff>
    </xdr:to>
    <xdr:graphicFrame macro="">
      <xdr:nvGraphicFramePr>
        <xdr:cNvPr id="138" name="IR_MIL1">
          <a:extLst>
            <a:ext uri="{FF2B5EF4-FFF2-40B4-BE49-F238E27FC236}">
              <a16:creationId xmlns:a16="http://schemas.microsoft.com/office/drawing/2014/main" id="{5C60D42C-79FC-DE4E-BF33-BBB6E858FB5B}"/>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10</xdr:col>
      <xdr:colOff>0</xdr:colOff>
      <xdr:row>12</xdr:row>
      <xdr:rowOff>0</xdr:rowOff>
    </xdr:from>
    <xdr:to>
      <xdr:col>10</xdr:col>
      <xdr:colOff>1440000</xdr:colOff>
      <xdr:row>12</xdr:row>
      <xdr:rowOff>1440000</xdr:rowOff>
    </xdr:to>
    <xdr:graphicFrame macro="">
      <xdr:nvGraphicFramePr>
        <xdr:cNvPr id="139" name="EDM_MIL3">
          <a:extLst>
            <a:ext uri="{FF2B5EF4-FFF2-40B4-BE49-F238E27FC236}">
              <a16:creationId xmlns:a16="http://schemas.microsoft.com/office/drawing/2014/main" id="{A3B9A3D2-2890-EB48-99A6-824FFC3CD3D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0</xdr:colOff>
      <xdr:row>13</xdr:row>
      <xdr:rowOff>0</xdr:rowOff>
    </xdr:from>
    <xdr:to>
      <xdr:col>10</xdr:col>
      <xdr:colOff>1440000</xdr:colOff>
      <xdr:row>13</xdr:row>
      <xdr:rowOff>1440000</xdr:rowOff>
    </xdr:to>
    <xdr:graphicFrame macro="">
      <xdr:nvGraphicFramePr>
        <xdr:cNvPr id="140" name="EDM_MIL2">
          <a:extLst>
            <a:ext uri="{FF2B5EF4-FFF2-40B4-BE49-F238E27FC236}">
              <a16:creationId xmlns:a16="http://schemas.microsoft.com/office/drawing/2014/main" id="{87030DCA-DF8E-7644-8FE1-962F61B16965}"/>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0</xdr:colOff>
      <xdr:row>14</xdr:row>
      <xdr:rowOff>0</xdr:rowOff>
    </xdr:from>
    <xdr:to>
      <xdr:col>10</xdr:col>
      <xdr:colOff>1440000</xdr:colOff>
      <xdr:row>14</xdr:row>
      <xdr:rowOff>1440000</xdr:rowOff>
    </xdr:to>
    <xdr:graphicFrame macro="">
      <xdr:nvGraphicFramePr>
        <xdr:cNvPr id="141" name="EDM_MIL1">
          <a:extLst>
            <a:ext uri="{FF2B5EF4-FFF2-40B4-BE49-F238E27FC236}">
              <a16:creationId xmlns:a16="http://schemas.microsoft.com/office/drawing/2014/main" id="{DD8E42D9-D594-2E4A-B6A6-36B83227B74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0</xdr:colOff>
      <xdr:row>12</xdr:row>
      <xdr:rowOff>0</xdr:rowOff>
    </xdr:from>
    <xdr:to>
      <xdr:col>11</xdr:col>
      <xdr:colOff>1440000</xdr:colOff>
      <xdr:row>12</xdr:row>
      <xdr:rowOff>1440000</xdr:rowOff>
    </xdr:to>
    <xdr:graphicFrame macro="">
      <xdr:nvGraphicFramePr>
        <xdr:cNvPr id="142" name="WM_MIL3">
          <a:extLst>
            <a:ext uri="{FF2B5EF4-FFF2-40B4-BE49-F238E27FC236}">
              <a16:creationId xmlns:a16="http://schemas.microsoft.com/office/drawing/2014/main" id="{DA85E0B8-C813-5F45-B16A-453F25713BD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11</xdr:col>
      <xdr:colOff>0</xdr:colOff>
      <xdr:row>13</xdr:row>
      <xdr:rowOff>0</xdr:rowOff>
    </xdr:from>
    <xdr:to>
      <xdr:col>11</xdr:col>
      <xdr:colOff>1440000</xdr:colOff>
      <xdr:row>13</xdr:row>
      <xdr:rowOff>1440000</xdr:rowOff>
    </xdr:to>
    <xdr:graphicFrame macro="">
      <xdr:nvGraphicFramePr>
        <xdr:cNvPr id="143" name="WM_MIL2">
          <a:extLst>
            <a:ext uri="{FF2B5EF4-FFF2-40B4-BE49-F238E27FC236}">
              <a16:creationId xmlns:a16="http://schemas.microsoft.com/office/drawing/2014/main" id="{B3AC4A9C-24DC-6944-A260-BDC2E7D0170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11</xdr:col>
      <xdr:colOff>0</xdr:colOff>
      <xdr:row>14</xdr:row>
      <xdr:rowOff>0</xdr:rowOff>
    </xdr:from>
    <xdr:to>
      <xdr:col>11</xdr:col>
      <xdr:colOff>1440000</xdr:colOff>
      <xdr:row>14</xdr:row>
      <xdr:rowOff>1440000</xdr:rowOff>
    </xdr:to>
    <xdr:graphicFrame macro="">
      <xdr:nvGraphicFramePr>
        <xdr:cNvPr id="144" name="WM_MIL1">
          <a:extLst>
            <a:ext uri="{FF2B5EF4-FFF2-40B4-BE49-F238E27FC236}">
              <a16:creationId xmlns:a16="http://schemas.microsoft.com/office/drawing/2014/main" id="{15173D27-3738-7743-8245-CE3D701911F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12</xdr:col>
      <xdr:colOff>0</xdr:colOff>
      <xdr:row>12</xdr:row>
      <xdr:rowOff>0</xdr:rowOff>
    </xdr:from>
    <xdr:to>
      <xdr:col>12</xdr:col>
      <xdr:colOff>1440000</xdr:colOff>
      <xdr:row>12</xdr:row>
      <xdr:rowOff>1440000</xdr:rowOff>
    </xdr:to>
    <xdr:graphicFrame macro="">
      <xdr:nvGraphicFramePr>
        <xdr:cNvPr id="145" name="APM_MIL3">
          <a:extLst>
            <a:ext uri="{FF2B5EF4-FFF2-40B4-BE49-F238E27FC236}">
              <a16:creationId xmlns:a16="http://schemas.microsoft.com/office/drawing/2014/main" id="{1AF8D73C-90B6-734C-8038-7552FA74989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12</xdr:col>
      <xdr:colOff>0</xdr:colOff>
      <xdr:row>13</xdr:row>
      <xdr:rowOff>0</xdr:rowOff>
    </xdr:from>
    <xdr:to>
      <xdr:col>12</xdr:col>
      <xdr:colOff>1440000</xdr:colOff>
      <xdr:row>13</xdr:row>
      <xdr:rowOff>1440000</xdr:rowOff>
    </xdr:to>
    <xdr:graphicFrame macro="">
      <xdr:nvGraphicFramePr>
        <xdr:cNvPr id="146" name="APM_MIL2">
          <a:extLst>
            <a:ext uri="{FF2B5EF4-FFF2-40B4-BE49-F238E27FC236}">
              <a16:creationId xmlns:a16="http://schemas.microsoft.com/office/drawing/2014/main" id="{B16A5E72-6EB1-5940-847B-448804E35B5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12</xdr:col>
      <xdr:colOff>0</xdr:colOff>
      <xdr:row>14</xdr:row>
      <xdr:rowOff>0</xdr:rowOff>
    </xdr:from>
    <xdr:to>
      <xdr:col>12</xdr:col>
      <xdr:colOff>1440000</xdr:colOff>
      <xdr:row>14</xdr:row>
      <xdr:rowOff>1440000</xdr:rowOff>
    </xdr:to>
    <xdr:graphicFrame macro="">
      <xdr:nvGraphicFramePr>
        <xdr:cNvPr id="147" name="APM_MIL1">
          <a:extLst>
            <a:ext uri="{FF2B5EF4-FFF2-40B4-BE49-F238E27FC236}">
              <a16:creationId xmlns:a16="http://schemas.microsoft.com/office/drawing/2014/main" id="{099BBDD8-DFC1-C54E-8B04-E3BA123BB12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14</xdr:col>
      <xdr:colOff>0</xdr:colOff>
      <xdr:row>12</xdr:row>
      <xdr:rowOff>0</xdr:rowOff>
    </xdr:from>
    <xdr:to>
      <xdr:col>14</xdr:col>
      <xdr:colOff>1440000</xdr:colOff>
      <xdr:row>12</xdr:row>
      <xdr:rowOff>1440000</xdr:rowOff>
    </xdr:to>
    <xdr:graphicFrame macro="">
      <xdr:nvGraphicFramePr>
        <xdr:cNvPr id="38" name="Total_MIL3">
          <a:extLst>
            <a:ext uri="{FF2B5EF4-FFF2-40B4-BE49-F238E27FC236}">
              <a16:creationId xmlns:a16="http://schemas.microsoft.com/office/drawing/2014/main" id="{24840644-1069-464B-B34E-2C7C8ECFDD6D}"/>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14</xdr:col>
      <xdr:colOff>0</xdr:colOff>
      <xdr:row>13</xdr:row>
      <xdr:rowOff>0</xdr:rowOff>
    </xdr:from>
    <xdr:to>
      <xdr:col>14</xdr:col>
      <xdr:colOff>1440000</xdr:colOff>
      <xdr:row>13</xdr:row>
      <xdr:rowOff>1440000</xdr:rowOff>
    </xdr:to>
    <xdr:graphicFrame macro="">
      <xdr:nvGraphicFramePr>
        <xdr:cNvPr id="39" name="Total_MIL2">
          <a:extLst>
            <a:ext uri="{FF2B5EF4-FFF2-40B4-BE49-F238E27FC236}">
              <a16:creationId xmlns:a16="http://schemas.microsoft.com/office/drawing/2014/main" id="{684297E8-36DF-DA41-9F4C-1EAFD5EB4A1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14</xdr:col>
      <xdr:colOff>0</xdr:colOff>
      <xdr:row>14</xdr:row>
      <xdr:rowOff>0</xdr:rowOff>
    </xdr:from>
    <xdr:to>
      <xdr:col>14</xdr:col>
      <xdr:colOff>1440000</xdr:colOff>
      <xdr:row>14</xdr:row>
      <xdr:rowOff>1440000</xdr:rowOff>
    </xdr:to>
    <xdr:graphicFrame macro="">
      <xdr:nvGraphicFramePr>
        <xdr:cNvPr id="40" name="Total_MIL1">
          <a:extLst>
            <a:ext uri="{FF2B5EF4-FFF2-40B4-BE49-F238E27FC236}">
              <a16:creationId xmlns:a16="http://schemas.microsoft.com/office/drawing/2014/main" id="{5911FFFF-4C86-1141-944A-0C959CC1C1E5}"/>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13</xdr:col>
      <xdr:colOff>0</xdr:colOff>
      <xdr:row>12</xdr:row>
      <xdr:rowOff>0</xdr:rowOff>
    </xdr:from>
    <xdr:to>
      <xdr:col>13</xdr:col>
      <xdr:colOff>1440000</xdr:colOff>
      <xdr:row>12</xdr:row>
      <xdr:rowOff>1440000</xdr:rowOff>
    </xdr:to>
    <xdr:graphicFrame macro="">
      <xdr:nvGraphicFramePr>
        <xdr:cNvPr id="41" name="APP_MIL3">
          <a:extLst>
            <a:ext uri="{FF2B5EF4-FFF2-40B4-BE49-F238E27FC236}">
              <a16:creationId xmlns:a16="http://schemas.microsoft.com/office/drawing/2014/main" id="{C59D06DC-C038-A54F-8D2C-DB7BBE46DD5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13</xdr:col>
      <xdr:colOff>0</xdr:colOff>
      <xdr:row>13</xdr:row>
      <xdr:rowOff>0</xdr:rowOff>
    </xdr:from>
    <xdr:to>
      <xdr:col>13</xdr:col>
      <xdr:colOff>1440000</xdr:colOff>
      <xdr:row>13</xdr:row>
      <xdr:rowOff>1440000</xdr:rowOff>
    </xdr:to>
    <xdr:graphicFrame macro="">
      <xdr:nvGraphicFramePr>
        <xdr:cNvPr id="42" name="APP_MIL2">
          <a:extLst>
            <a:ext uri="{FF2B5EF4-FFF2-40B4-BE49-F238E27FC236}">
              <a16:creationId xmlns:a16="http://schemas.microsoft.com/office/drawing/2014/main" id="{9C5B65F6-A452-2C46-B34C-FB2BD883979E}"/>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13</xdr:col>
      <xdr:colOff>0</xdr:colOff>
      <xdr:row>14</xdr:row>
      <xdr:rowOff>0</xdr:rowOff>
    </xdr:from>
    <xdr:to>
      <xdr:col>13</xdr:col>
      <xdr:colOff>1440000</xdr:colOff>
      <xdr:row>14</xdr:row>
      <xdr:rowOff>1440000</xdr:rowOff>
    </xdr:to>
    <xdr:graphicFrame macro="">
      <xdr:nvGraphicFramePr>
        <xdr:cNvPr id="43" name="APP_MIL1">
          <a:extLst>
            <a:ext uri="{FF2B5EF4-FFF2-40B4-BE49-F238E27FC236}">
              <a16:creationId xmlns:a16="http://schemas.microsoft.com/office/drawing/2014/main" id="{FBDF1022-D15A-AA43-A680-213B2BA4DBFC}"/>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editAs="oneCell">
    <xdr:from>
      <xdr:col>2</xdr:col>
      <xdr:colOff>0</xdr:colOff>
      <xdr:row>4</xdr:row>
      <xdr:rowOff>0</xdr:rowOff>
    </xdr:from>
    <xdr:to>
      <xdr:col>4</xdr:col>
      <xdr:colOff>1435000</xdr:colOff>
      <xdr:row>8</xdr:row>
      <xdr:rowOff>936900</xdr:rowOff>
    </xdr:to>
    <xdr:graphicFrame macro="">
      <xdr:nvGraphicFramePr>
        <xdr:cNvPr id="46" name="Chart_Overall_Maturity_Summary">
          <a:extLst>
            <a:ext uri="{FF2B5EF4-FFF2-40B4-BE49-F238E27FC236}">
              <a16:creationId xmlns:a16="http://schemas.microsoft.com/office/drawing/2014/main" id="{BE24E88A-EC0D-A04C-B5FD-082114F9A6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Glossary" displayName="Glossary" ref="A5:C162" totalsRowShown="0">
  <autoFilter ref="A5:C162" xr:uid="{00000000-0009-0000-0100-000006000000}"/>
  <tableColumns count="3">
    <tableColumn id="10" xr3:uid="{00000000-0010-0000-0100-00000A000000}" name="Term" dataDxfId="22"/>
    <tableColumn id="11" xr3:uid="{00000000-0010-0000-0100-00000B000000}" name="Definition" dataDxfId="21"/>
    <tableColumn id="12" xr3:uid="{00000000-0010-0000-0100-00000C000000}" name="Source" dataDxfId="20"/>
  </tableColumns>
  <tableStyleInfo name="TableStyleLight15"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Collate" displayName="Table_Collate" ref="A1:H283">
  <autoFilter ref="A1:H283" xr:uid="{7392276B-8D95-1F48-A37E-08BF39B907F2}">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4" xr3:uid="{00000000-0010-0000-0200-000004000000}" name="Practice ID" totalsRowFunction="count"/>
    <tableColumn id="11" xr3:uid="{19293D42-0352-8949-8F2F-C86EE2AD3FC3}" name="Anti-Pattern"/>
    <tableColumn id="10" xr3:uid="{6E27F314-FB5A-8E49-A475-250E2FD5C891}" name="Objective ID"/>
    <tableColumn id="1" xr3:uid="{00000000-0010-0000-0200-000001000000}" name="Domain"/>
    <tableColumn id="6" xr3:uid="{00000000-0010-0000-0200-000006000000}" name="Maturity Indicator Level"/>
    <tableColumn id="7" xr3:uid="{B0DD5279-F919-DD41-92D6-004E8E7800F0}" name="Security Profile"/>
    <tableColumn id="9" xr3:uid="{00000000-0010-0000-0200-000009000000}" name="Current State"/>
    <tableColumn id="8" xr3:uid="{00000000-0010-0000-0200-000008000000}" name="Complete" totalsRowFunction="custom">
      <calculatedColumnFormula>_xlfn.IFNA(VLOOKUP(Table_Collate[[#This Row],[Current State]],Score,2,FALSE),0)</calculatedColumnFormula>
      <totalsRowFormula>COUNTIF(Table_Collate[Complete],1)</totalsRowFormula>
    </tableColumn>
  </tableColumns>
  <tableStyleInfo name="TableStyleLight15"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_Aggregate" displayName="Table_Aggregate" ref="J1:V13" totalsRowCount="1">
  <autoFilter ref="J1:V12" xr:uid="{25ED5919-7754-DF43-9D3C-1AC21522C67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3" xr3:uid="{00000000-0010-0000-0300-000003000000}" name="Domain" totalsRowLabel="Total"/>
    <tableColumn id="1" xr3:uid="{00000000-0010-0000-0300-000001000000}" name="MIL 1 Complete" totalsRowFunction="sum">
      <calculatedColumnFormula>COUNTIFS(Table_Collate[Anti-Pattern],0,Table_Collate[Domain],Table_Aggregate[[#This Row],[Domain]],Table_Collate[Maturity Indicator Level],1,Table_Collate[Complete],1)</calculatedColumnFormula>
    </tableColumn>
    <tableColumn id="32" xr3:uid="{006D62BF-61DC-6A46-B27B-E091851078CB}" name="MIL 1 AP Not Present" totalsRowFunction="sum">
      <calculatedColumnFormula>COUNTIFS(Table_Collate[Anti-Pattern],1,Table_Collate[Domain],Table_Aggregate[[#This Row],[Domain]],Table_Collate[Maturity Indicator Level],1,Table_Collate[Complete],1)</calculatedColumnFormula>
    </tableColumn>
    <tableColumn id="7" xr3:uid="{00000000-0010-0000-0300-000007000000}" name="MIL 2 Complete" totalsRowFunction="sum">
      <calculatedColumnFormula>COUNTIFS(Table_Collate[Anti-Pattern],0,Table_Collate[Domain],Table_Aggregate[[#This Row],[Domain]],Table_Collate[Maturity Indicator Level],2,Table_Collate[Complete],1)</calculatedColumnFormula>
    </tableColumn>
    <tableColumn id="33" xr3:uid="{D172A8D7-8CE3-0146-A62B-539FF29F2240}" name="MIL 2 AP Not Present" totalsRowFunction="sum">
      <calculatedColumnFormula>COUNTIFS(Table_Collate[Anti-Pattern],1,Table_Collate[Domain],Table_Aggregate[[#This Row],[Domain]],Table_Collate[Maturity Indicator Level],2,Table_Collate[Complete],1)</calculatedColumnFormula>
    </tableColumn>
    <tableColumn id="8" xr3:uid="{00000000-0010-0000-0300-000008000000}" name="MIL 3 Complete" totalsRowFunction="sum">
      <calculatedColumnFormula>COUNTIFS(Table_Collate[Anti-Pattern],0,Table_Collate[Domain],Table_Aggregate[[#This Row],[Domain]],Table_Collate[Maturity Indicator Level],3,Table_Collate[Complete],1)</calculatedColumnFormula>
    </tableColumn>
    <tableColumn id="34" xr3:uid="{667882AC-53A6-B747-828C-D480B3362923}" name="MIL 3 AP Not Present" totalsRowFunction="sum">
      <calculatedColumnFormula>COUNTIFS(Table_Collate[Anti-Pattern],1,Table_Collate[Domain],Table_Aggregate[[#This Row],[Domain]],Table_Collate[Maturity Indicator Level],3,Table_Collate[Complete],1)</calculatedColumnFormula>
    </tableColumn>
    <tableColumn id="26" xr3:uid="{00000000-0010-0000-0300-00001A000000}" name="MIL 1 Not Complete" totalsRowFunction="sum">
      <calculatedColumnFormula>COUNTIFS(Table_Collate[Anti-Pattern],0,Table_Collate[Domain],Table_Aggregate[[#This Row],[Domain]],Table_Collate[Maturity Indicator Level],1,Table_Collate[Complete],0)</calculatedColumnFormula>
    </tableColumn>
    <tableColumn id="35" xr3:uid="{5D891318-CC4D-9F42-9C76-06F22371D15B}" name="MIL 1 AP Present" totalsRowFunction="sum">
      <calculatedColumnFormula>COUNTIFS(Table_Collate[Anti-Pattern],1,Table_Collate[Domain],Table_Aggregate[[#This Row],[Domain]],Table_Collate[Maturity Indicator Level],1,Table_Collate[Complete],0)</calculatedColumnFormula>
    </tableColumn>
    <tableColumn id="25" xr3:uid="{00000000-0010-0000-0300-000019000000}" name="MIL 2 Not Complete" totalsRowFunction="sum">
      <calculatedColumnFormula>COUNTIFS(Table_Collate[Anti-Pattern],0,Table_Collate[Domain],Table_Aggregate[[#This Row],[Domain]],Table_Collate[Maturity Indicator Level],2,Table_Collate[Complete],0)</calculatedColumnFormula>
    </tableColumn>
    <tableColumn id="36" xr3:uid="{372BF074-1887-1C4D-B133-E046BE44BA92}" name="MIL 2 AP Present" totalsRowFunction="sum">
      <calculatedColumnFormula>COUNTIFS(Table_Collate[Anti-Pattern],1,Table_Collate[Domain],Table_Aggregate[[#This Row],[Domain]],Table_Collate[Maturity Indicator Level],2,Table_Collate[Complete],0)</calculatedColumnFormula>
    </tableColumn>
    <tableColumn id="24" xr3:uid="{00000000-0010-0000-0300-000018000000}" name="MIL 3 Not Complete" totalsRowFunction="sum">
      <calculatedColumnFormula>COUNTIFS(Table_Collate[Anti-Pattern],0,Table_Collate[Domain],Table_Aggregate[[#This Row],[Domain]],Table_Collate[Maturity Indicator Level],3,Table_Collate[Complete],0)</calculatedColumnFormula>
    </tableColumn>
    <tableColumn id="37" xr3:uid="{6689DA23-DAB6-8247-BE42-1BE78B9CEB63}" name="MIL 3 AP Present" totalsRowFunction="sum">
      <calculatedColumnFormula>COUNTIFS(Table_Collate[Anti-Pattern],1,Table_Collate[Domain],Table_Aggregate[[#This Row],[Domain]],Table_Collate[Maturity Indicator Level],3,Table_Collate[Complete],0)</calculatedColumnFormula>
    </tableColumn>
  </tableColumns>
  <tableStyleInfo name="TableStyleLight15"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5355B0B-14AC-6644-853A-A90244141502}" name="Table_Collate_Criticality_Assessment_Tool" displayName="Table_Collate_Criticality_Assessment_Tool" ref="X1:AF34" totalsRowShown="0">
  <autoFilter ref="X1:AF34" xr:uid="{AA2C50F5-261D-A14C-BD44-073BBC06159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0CD5E00-C0A7-2B4D-8399-355E0AEFFFED}" name="Subsector"/>
    <tableColumn id="2" xr3:uid="{4E0437CC-CF94-7D4E-B6AF-DA338ED397ED}" name="ID"/>
    <tableColumn id="10" xr3:uid="{3C0ED3F6-B7DF-3D43-A7D1-E6D6AABFC453}" name="Response ID" dataDxfId="19"/>
    <tableColumn id="7" xr3:uid="{03ABC5F9-9C07-E046-AF1A-953BA77C6CA9}" name="Answer ID" dataDxfId="18"/>
    <tableColumn id="3" xr3:uid="{DC122D51-C20D-754D-851C-3C92E2362B31}" name="Question Weight"/>
    <tableColumn id="8" xr3:uid="{921FC00D-75C6-F64F-AB4F-84A98E2D2265}" name="Subsector Weight" dataDxfId="17"/>
    <tableColumn id="4" xr3:uid="{C492BA3D-A412-B248-BEFE-C7971D32F430}" name="Response" dataDxfId="16">
      <calculatedColumnFormula>IFERROR(VLOOKUP(Table_Collate_Criticality_Assessment_Tool[[#This Row],[ID]],CAT,4,FALSE),0)</calculatedColumnFormula>
    </tableColumn>
    <tableColumn id="5" xr3:uid="{E7875F4F-D148-0C4F-8857-30B93AD1471C}" name="Score" dataDxfId="15">
      <calculatedColumnFormula array="1">IFERROR(_xlfn.XLOOKUP(Table_Collate_Criticality_Assessment_Tool[[#This Row],[Response]],INDIRECT(Table_Collate_Criticality_Assessment_Tool[[#This Row],[Response ID]],TRUE),INDIRECT(Table_Collate_Criticality_Assessment_Tool[[#This Row],[Answer ID]],TRUE)),0)</calculatedColumnFormula>
    </tableColumn>
    <tableColumn id="6" xr3:uid="{A6141BD4-D114-2E47-87B4-10750B64DFF4}" name="Weighted Score" dataDxfId="14">
      <calculatedColumnFormula>Table_Collate_Criticality_Assessment_Tool[[#This Row],[Question Weight]]*Table_Collate_Criticality_Assessment_Tool[[#This Row],[Subsector Weight]]*Table_Collate_Criticality_Assessment_Tool[[#This Row],[Score]]</calculatedColumnFormula>
    </tableColumn>
  </tableColumns>
  <tableStyleInfo name="TableStyleLight15"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39F362A-37D1-B747-B130-4B7ECBF62960}" name="Table_Aggregate_Criticality_Assessment_Tool" displayName="Table_Aggregate_Criticality_Assessment_Tool" ref="AH1:AI7" totalsRowShown="0">
  <autoFilter ref="AH1:AI7" xr:uid="{D405A129-93B0-7343-B03E-20A81945EEF9}">
    <filterColumn colId="0" hiddenButton="1"/>
    <filterColumn colId="1" hiddenButton="1"/>
  </autoFilter>
  <tableColumns count="2">
    <tableColumn id="1" xr3:uid="{D4245834-62C3-2A42-8B66-8655E7CC38FB}" name="Subsector"/>
    <tableColumn id="2" xr3:uid="{9FC206EA-11C2-5644-99B1-D1A40FBB8049}" name="Total Weighted Score" dataDxfId="13">
      <calculatedColumnFormula>SUMIFS(Table_Collate_Criticality_Assessment_Tool[Weighted Score],Table_Collate_Criticality_Assessment_Tool[Subsector],Table_Aggregate_Criticality_Assessment_Tool[[#This Row],[Subsector]])</calculatedColumnFormula>
    </tableColumn>
  </tableColumns>
  <tableStyleInfo name="TableStyleLight15"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5E372E-ACF2-F74A-8423-310D0E223E5E}" name="Table_Collate_G_CAT" displayName="Table_Collate_G_CAT" ref="X36:AF66" totalsRowShown="0">
  <autoFilter ref="X36:AF66" xr:uid="{7E5E372E-ACF2-F74A-8423-310D0E223E5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59C7C169-28E7-6249-B74A-CA56CCBB8550}" name="Subsector"/>
    <tableColumn id="2" xr3:uid="{8D50C99A-7E37-4141-9505-3369BC5A7CED}" name="ID"/>
    <tableColumn id="3" xr3:uid="{29E289A8-AB78-C440-93AE-E4BBEF651E43}" name="Response ID" dataDxfId="12"/>
    <tableColumn id="4" xr3:uid="{86CE0DBB-821B-F641-ADB9-B8C640FBF87C}" name="Answer ID" dataDxfId="11"/>
    <tableColumn id="5" xr3:uid="{014B0018-CC46-D74E-904E-10DFD84F4ECE}" name="Question Weight"/>
    <tableColumn id="6" xr3:uid="{53D799E0-30F8-5A4D-A907-57EAE3C80606}" name="Subsector Weight"/>
    <tableColumn id="7" xr3:uid="{4B76A529-BE0A-F74D-82D9-E81A4546111A}" name="Response" dataDxfId="10">
      <calculatedColumnFormula>IFERROR(VLOOKUP(Table_Collate_G_CAT[[#This Row],[ID]],G_CAT,4,FALSE),0)</calculatedColumnFormula>
    </tableColumn>
    <tableColumn id="8" xr3:uid="{ECFCDEB7-B0AD-6D47-BA77-6E96CA0CE1AC}" name="Score" dataDxfId="9">
      <calculatedColumnFormula array="1">IFERROR(_xlfn.XLOOKUP(Table_Collate_G_CAT[[#This Row],[Response]],INDIRECT(Table_Collate_G_CAT[[#This Row],[Response ID]],TRUE),INDIRECT(Table_Collate_G_CAT[[#This Row],[Answer ID]],TRUE)),0)</calculatedColumnFormula>
    </tableColumn>
    <tableColumn id="9" xr3:uid="{883F05E5-2D24-1D4B-BEC6-455C4C5F44F4}" name="Weighted Score" dataDxfId="8">
      <calculatedColumnFormula>Table_Collate_G_CAT[[#This Row],[Question Weight]]*Table_Collate_G_CAT[[#This Row],[Subsector Weight]]*Table_Collate_G_CAT[[#This Row],[Score]]</calculatedColumnFormula>
    </tableColumn>
  </tableColumns>
  <tableStyleInfo name="TableStyleLight15"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41F67C-1474-384C-8160-695D4DC7DA18}" name="Table_Aggregate_G_CAT" displayName="Table_Aggregate_G_CAT" ref="AH36:AI42" totalsRowShown="0">
  <autoFilter ref="AH36:AI42" xr:uid="{5541F67C-1474-384C-8160-695D4DC7DA18}">
    <filterColumn colId="0" hiddenButton="1"/>
    <filterColumn colId="1" hiddenButton="1"/>
  </autoFilter>
  <tableColumns count="2">
    <tableColumn id="1" xr3:uid="{48985ACD-E0EC-6C40-8B91-3EAE7AE068F3}" name="Subsector"/>
    <tableColumn id="2" xr3:uid="{A70152CF-A09B-5D42-B9F0-8BC85899810B}" name="Total Weighted Score" dataDxfId="7">
      <calculatedColumnFormula>SUMIFS(Table_Collate_G_CAT[Weighted Score],Table_Collate_G_CAT[Subsector],Table_Aggregate_G_CAT[[#This Row],[Subsector]])</calculatedColumnFormula>
    </tableColumn>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76495F9-C0CC-4BF4-AB19-967FB109228D}" name="Table_Collate_L_CAT" displayName="Table_Collate_L_CAT" ref="X68:AF94" totalsRowShown="0">
  <autoFilter ref="X68:AF94" xr:uid="{391D2A3D-98C5-43ED-9089-E2CA62AA9014}"/>
  <tableColumns count="9">
    <tableColumn id="1" xr3:uid="{85D0A083-B080-4372-83CB-E9A5C3E11B86}" name="Subsector"/>
    <tableColumn id="2" xr3:uid="{E9D65C44-8B00-4E82-9735-33BCB701D0C4}" name="ID"/>
    <tableColumn id="3" xr3:uid="{4C4BF9EF-6018-493E-9CA3-D57E898F53D4}" name="Response ID" dataDxfId="6"/>
    <tableColumn id="4" xr3:uid="{805423CA-94F0-4F05-9E07-948061161AF9}" name="Answer ID" dataDxfId="5"/>
    <tableColumn id="5" xr3:uid="{AB1466C9-E997-41A7-B894-8FD083ED0DD2}" name="Question Weight" dataDxfId="4" dataCellStyle="Percent"/>
    <tableColumn id="6" xr3:uid="{1AC900F6-A05F-4141-9A8C-2B312C2668E2}" name="Subsector Weight"/>
    <tableColumn id="7" xr3:uid="{A8EBFCB0-A7CF-4923-A7E6-C4454BA32CB8}" name="Response" dataDxfId="3">
      <calculatedColumnFormula>IFERROR(VLOOKUP(Table_Collate_L_CAT[[#This Row],[ID]],L_CAT,5,FALSE),0)</calculatedColumnFormula>
    </tableColumn>
    <tableColumn id="8" xr3:uid="{CF0BA585-1252-47C7-927B-9D285EA32968}" name="Score" dataDxfId="2">
      <calculatedColumnFormula array="1">IFERROR(_xlfn.XLOOKUP(Table_Collate_L_CAT[[#This Row],[Response]],INDIRECT(Table_Collate_L_CAT[[#This Row],[Response ID]],TRUE),INDIRECT(Table_Collate_L_CAT[[#This Row],[Answer ID]],TRUE)),0)</calculatedColumnFormula>
    </tableColumn>
    <tableColumn id="9" xr3:uid="{85212421-37B0-479E-AC74-8287AA00A5C1}" name="Weighted Score" dataDxfId="1">
      <calculatedColumnFormula>Table_Collate_L_CAT[[#This Row],[Question Weight]]*Table_Collate_L_CAT[[#This Row],[Subsector Weight]]*Table_Collate_L_CAT[[#This Row],[Score]]</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5C9717E-5254-46A9-993B-411915911A33}" name="Table_Aggregate_L_CAT" displayName="Table_Aggregate_L_CAT" ref="AH68:AI73" totalsRowShown="0">
  <autoFilter ref="AH68:AI73" xr:uid="{94ED24FE-B4AF-46B1-9219-8D927873FCE6}"/>
  <tableColumns count="2">
    <tableColumn id="1" xr3:uid="{8385F812-6448-494F-B893-68CC8A93C908}" name="Subsector"/>
    <tableColumn id="2" xr3:uid="{4651C84C-B3F4-4912-A9E7-650679340E38}" name="Total Weighted Score" dataDxfId="0">
      <calculatedColumnFormula>SUMIFS(Table_Collate_L_CAT[Weighted Score],Table_Collate_L_CAT[Subsector],Table_Aggregate_L_CAT[[#This Row],[Subsector]])</calculatedColumnFormula>
    </tableColumn>
  </tableColumns>
  <tableStyleInfo name="TableStyleLight15"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19.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79998168889431442"/>
  </sheetPr>
  <dimension ref="B14:G45"/>
  <sheetViews>
    <sheetView zoomScale="120" zoomScaleNormal="120" workbookViewId="0">
      <selection activeCell="G14" sqref="G14"/>
    </sheetView>
  </sheetViews>
  <sheetFormatPr defaultColWidth="11" defaultRowHeight="12.75"/>
  <cols>
    <col min="1" max="1" width="1.7109375" customWidth="1"/>
    <col min="2" max="3" width="6.7109375" customWidth="1"/>
    <col min="4" max="4" width="1.7109375" customWidth="1"/>
    <col min="5" max="5" width="82.42578125" customWidth="1"/>
    <col min="6" max="6" width="1.7109375" customWidth="1"/>
    <col min="7" max="7" width="15.7109375" customWidth="1"/>
    <col min="8" max="8" width="1.7109375" customWidth="1"/>
    <col min="9" max="10" width="11" customWidth="1"/>
  </cols>
  <sheetData>
    <row r="14" spans="2:7" ht="20.25" customHeight="1" thickBot="1">
      <c r="B14" s="55" t="s">
        <v>0</v>
      </c>
      <c r="C14" s="55"/>
      <c r="E14" s="4" t="s">
        <v>1</v>
      </c>
      <c r="G14" s="15" t="s">
        <v>2</v>
      </c>
    </row>
    <row r="15" spans="2:7" ht="13.5" thickTop="1"/>
    <row r="16" spans="2:7" ht="18" thickBot="1">
      <c r="E16" s="5" t="s">
        <v>3</v>
      </c>
    </row>
    <row r="17" spans="3:7" ht="13.5" thickTop="1"/>
    <row r="18" spans="3:7" ht="15.75" thickBot="1">
      <c r="C18" s="18" t="s">
        <v>4</v>
      </c>
      <c r="E18" s="11" t="s">
        <v>5</v>
      </c>
    </row>
    <row r="19" spans="3:7">
      <c r="C19" s="19" t="s">
        <v>6</v>
      </c>
      <c r="E19" s="10" t="s">
        <v>7</v>
      </c>
    </row>
    <row r="20" spans="3:7">
      <c r="C20" s="19" t="s">
        <v>8</v>
      </c>
      <c r="E20" s="10" t="s">
        <v>9</v>
      </c>
    </row>
    <row r="21" spans="3:7">
      <c r="C21" s="19" t="s">
        <v>10</v>
      </c>
      <c r="E21" s="10" t="s">
        <v>11</v>
      </c>
    </row>
    <row r="23" spans="3:7" ht="24" thickBot="1">
      <c r="C23" s="18" t="s">
        <v>12</v>
      </c>
      <c r="E23" s="11" t="s">
        <v>13</v>
      </c>
      <c r="G23" s="12">
        <f>(1-((COUNTIF(Table_Collate[Current State],0)/282)))</f>
        <v>9.9290780141844004E-2</v>
      </c>
    </row>
    <row r="24" spans="3:7">
      <c r="C24" s="19" t="s">
        <v>14</v>
      </c>
      <c r="E24" s="6" t="s">
        <v>15</v>
      </c>
      <c r="G24" s="13">
        <f>(1-((COUNTIFS(Table_Collate[Domain],"RM",Table_Collate[Current State],0)/(COUNTIFS(Table_Collate[Domain],"RM")))))</f>
        <v>0</v>
      </c>
    </row>
    <row r="25" spans="3:7">
      <c r="C25" s="19" t="s">
        <v>16</v>
      </c>
      <c r="E25" s="6" t="s">
        <v>17</v>
      </c>
      <c r="G25" s="13">
        <f>(1-((COUNTIFS(Table_Collate[Domain],"CPM",Table_Collate[Current State],0)/(COUNTIFS(Table_Collate[Domain],"CPM")))))</f>
        <v>1</v>
      </c>
    </row>
    <row r="26" spans="3:7">
      <c r="C26" s="19" t="s">
        <v>18</v>
      </c>
      <c r="E26" s="6" t="s">
        <v>19</v>
      </c>
      <c r="G26" s="13">
        <f>(1-((COUNTIFS(Table_Collate[Domain],"ACM",Table_Collate[Current State],0)/(COUNTIFS(Table_Collate[Domain],"ACM")))))</f>
        <v>0</v>
      </c>
    </row>
    <row r="27" spans="3:7">
      <c r="C27" s="19" t="s">
        <v>20</v>
      </c>
      <c r="E27" s="6" t="s">
        <v>21</v>
      </c>
      <c r="G27" s="13">
        <f>(1-((COUNTIFS(Table_Collate[Domain],"IAM",Table_Collate[Current State],0)/(COUNTIFS(Table_Collate[Domain],"IAM")))))</f>
        <v>0</v>
      </c>
    </row>
    <row r="28" spans="3:7">
      <c r="C28" s="19" t="s">
        <v>22</v>
      </c>
      <c r="E28" s="6" t="s">
        <v>23</v>
      </c>
      <c r="G28" s="13">
        <f>(1-((COUNTIFS(Table_Collate[Domain],"ISC",Table_Collate[Current State],0)/(COUNTIFS(Table_Collate[Domain],"ISC")))))</f>
        <v>0</v>
      </c>
    </row>
    <row r="29" spans="3:7">
      <c r="C29" s="19" t="s">
        <v>24</v>
      </c>
      <c r="E29" s="6" t="s">
        <v>25</v>
      </c>
      <c r="G29" s="13">
        <f>(1-((COUNTIFS(Table_Collate[Domain],"TVM",Table_Collate[Current State],0)/(COUNTIFS(Table_Collate[Domain],"TVM")))))</f>
        <v>0</v>
      </c>
    </row>
    <row r="30" spans="3:7">
      <c r="C30" s="19" t="s">
        <v>26</v>
      </c>
      <c r="E30" s="6" t="s">
        <v>27</v>
      </c>
      <c r="G30" s="13">
        <f>(1-((COUNTIFS(Table_Collate[Domain],"SA",Table_Collate[Current State],0)/(COUNTIFS(Table_Collate[Domain],"SA")))))</f>
        <v>0</v>
      </c>
    </row>
    <row r="31" spans="3:7">
      <c r="C31" s="19" t="s">
        <v>28</v>
      </c>
      <c r="E31" s="6" t="s">
        <v>29</v>
      </c>
      <c r="G31" s="13">
        <f>(1-((COUNTIFS(Table_Collate[Domain],"IR",Table_Collate[Current State],0)/(COUNTIFS(Table_Collate[Domain],"IR")))))</f>
        <v>0</v>
      </c>
    </row>
    <row r="32" spans="3:7">
      <c r="C32" s="19" t="s">
        <v>30</v>
      </c>
      <c r="E32" s="6" t="s">
        <v>31</v>
      </c>
      <c r="G32" s="13">
        <f>(1-((COUNTIFS(Table_Collate[Domain],"EDM",Table_Collate[Current State],0)/(COUNTIFS(Table_Collate[Domain],"EDM")))))</f>
        <v>0</v>
      </c>
    </row>
    <row r="33" spans="3:7">
      <c r="C33" s="19" t="s">
        <v>32</v>
      </c>
      <c r="E33" s="6" t="s">
        <v>33</v>
      </c>
      <c r="G33" s="13">
        <f>(1-((COUNTIFS(Table_Collate[Domain],"WM",Table_Collate[Current State],0)/(COUNTIFS(Table_Collate[Domain],"WM")))))</f>
        <v>0</v>
      </c>
    </row>
    <row r="34" spans="3:7">
      <c r="C34" s="19" t="s">
        <v>34</v>
      </c>
      <c r="E34" s="6" t="s">
        <v>35</v>
      </c>
      <c r="G34" s="13">
        <f>(1-((COUNTIFS(Table_Collate[Domain],"APM",Table_Collate[Current State],0)/(COUNTIFS(Table_Collate[Domain],"APM")))))</f>
        <v>0</v>
      </c>
    </row>
    <row r="36" spans="3:7" ht="15.75" thickBot="1">
      <c r="C36" s="18" t="s">
        <v>36</v>
      </c>
      <c r="E36" s="11" t="s">
        <v>37</v>
      </c>
    </row>
    <row r="37" spans="3:7">
      <c r="C37" s="19" t="s">
        <v>38</v>
      </c>
      <c r="E37" s="10" t="s">
        <v>39</v>
      </c>
    </row>
    <row r="38" spans="3:7">
      <c r="C38" s="19" t="s">
        <v>40</v>
      </c>
      <c r="E38" s="10" t="s">
        <v>41</v>
      </c>
    </row>
    <row r="41" spans="3:7" ht="15.75" thickBot="1">
      <c r="C41" s="18" t="s">
        <v>42</v>
      </c>
      <c r="E41" s="11" t="s">
        <v>43</v>
      </c>
    </row>
    <row r="42" spans="3:7">
      <c r="C42" s="19" t="s">
        <v>44</v>
      </c>
      <c r="E42" s="10" t="s">
        <v>45</v>
      </c>
    </row>
    <row r="44" spans="3:7">
      <c r="E44" s="7" t="s">
        <v>46</v>
      </c>
    </row>
    <row r="45" spans="3:7">
      <c r="E45" s="7" t="s">
        <v>47</v>
      </c>
    </row>
  </sheetData>
  <sheetProtection algorithmName="SHA-1" hashValue="Lu9tCcbljpdYvua3C9g3b7lioCo=" saltValue="cBFCZXI1m9ptVWbjpw0bOA==" spinCount="100000" sheet="1" objects="1" scenarios="1"/>
  <mergeCells count="1">
    <mergeCell ref="B14:C14"/>
  </mergeCells>
  <conditionalFormatting sqref="G23:G34">
    <cfRule type="cellIs" dxfId="23" priority="1" operator="equal">
      <formula>1</formula>
    </cfRule>
  </conditionalFormatting>
  <hyperlinks>
    <hyperlink ref="E24" location="RM!D12" tooltip="Go to RM" display="Risk Management (RM)" xr:uid="{00000000-0004-0000-0000-000001000000}"/>
    <hyperlink ref="E25" location="CPM!D12" tooltip="Go to CPM" display="Cyber security Program Management (CPM)" xr:uid="{00000000-0004-0000-0000-000002000000}"/>
    <hyperlink ref="E26" location="ACM!D12" tooltip="Go to ACM" display="Asset, Change, and Configuration Management (ACM)" xr:uid="{00000000-0004-0000-0000-000003000000}"/>
    <hyperlink ref="E27" location="IAM!D12" tooltip="Go to IAM" display="Identity and Access Management (IAM)" xr:uid="{00000000-0004-0000-0000-000004000000}"/>
    <hyperlink ref="E28" location="ISC!D12" tooltip="Go to ISC" display="Information Sharing and Communications (ISC)" xr:uid="{00000000-0004-0000-0000-000005000000}"/>
    <hyperlink ref="E29" location="TVM!D12" tooltip="Go to TVM" display="Threat and Vulnerability Management (TVM)" xr:uid="{00000000-0004-0000-0000-000006000000}"/>
    <hyperlink ref="E30" location="SA!D12" tooltip="Go to SA" display="Situational Awareness (SA)" xr:uid="{00000000-0004-0000-0000-000007000000}"/>
    <hyperlink ref="E31" location="IR!D12" tooltip="Go to IR" display="Event and Incident Response, Continuity of Operations (IR)" xr:uid="{00000000-0004-0000-0000-000008000000}"/>
    <hyperlink ref="E32" location="EDM!D12" tooltip="Go to EDM" display="Supply Chain and External Dependencies Management (EDM)" xr:uid="{00000000-0004-0000-0000-000009000000}"/>
    <hyperlink ref="E33" location="WM!D12" tooltip="Go to WM" display="Workforce Management (WM)" xr:uid="{00000000-0004-0000-0000-00000A000000}"/>
    <hyperlink ref="E34" location="APM!D12" tooltip="Go to APM" display="Australian Privacy Management (APM)" xr:uid="{00000000-0004-0000-0000-00000B000000}"/>
    <hyperlink ref="E42" location="Glossary!A6" tooltip="Click here to view the Glossary" display="Glossary" xr:uid="{00000000-0004-0000-0000-00000E000000}"/>
    <hyperlink ref="E19" location="'E-CAT'!A1" tooltip="Click here to Complete the Complete the Electricity Criticality Assessment Tool (E-CAT)" display="Complete the Electricity Criticality Assessment Tool (E-CAT)" xr:uid="{00000000-0004-0000-0000-00000F000000}"/>
    <hyperlink ref="E37" location="'Dashboard 1'!C1" tooltip="Click to Review your Self-Assessment Results" display="Review your Self-Assessment Results by Maturity Indicator Level (MIL) – Dashboard 1" xr:uid="{F9F8BFE8-3B06-F645-AB54-DC824BA8B452}"/>
    <hyperlink ref="E38" location="'Dashboard 2'!C1" tooltip="Click to Review your Self-Assessment Results" display="Review your Self-Assessment Results by Security Profile (SP) – Dashboard 2" xr:uid="{CED79392-A36F-CA4B-A933-72EFD4579F7C}"/>
    <hyperlink ref="E20" location="'G-CAT'!A1" tooltip="Click here to Complete the Complete the Gas Criticality Assessment Tool (G-CAT)" display="Complete the Gas Criticality Assessment Tool (G-CAT)" xr:uid="{A26669DA-BE43-F945-A9BF-38AB0194D0F3}"/>
    <hyperlink ref="E21" location="'L-CAT'!A1" tooltip="Click here to Complete the Complete the Gas Criticality Assessment Tool (G-CAT)" display="Complete the Liquid Fuels Criticality Assessment Tool (L-CAT)" xr:uid="{D0A563C9-9A55-4CAE-A560-2CA13EF68135}"/>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AD181-340F-3841-B7F6-B879A3CAEE2A}">
  <sheetPr codeName="Sheet7">
    <tabColor theme="3" tint="0.79998168889431442"/>
    <outlinePr summaryBelow="0"/>
  </sheetPr>
  <dimension ref="A1:J142"/>
  <sheetViews>
    <sheetView zoomScale="120" zoomScaleNormal="120" workbookViewId="0">
      <pane ySplit="6" topLeftCell="A7" activePane="bottomLeft" state="frozen"/>
      <selection pane="bottomLeft" activeCell="A7" sqref="A7"/>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20.25" thickBot="1">
      <c r="B2" s="4" t="s">
        <v>25</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694</v>
      </c>
      <c r="B7" s="8" t="s">
        <v>695</v>
      </c>
      <c r="C7" s="8"/>
      <c r="D7" s="8"/>
      <c r="E7" s="8"/>
      <c r="F7" s="8"/>
      <c r="G7" s="8"/>
      <c r="H7" s="8"/>
      <c r="I7" s="8"/>
      <c r="J7" s="8"/>
    </row>
    <row r="8" spans="1:10" ht="25.5">
      <c r="A8" s="3" t="s">
        <v>696</v>
      </c>
      <c r="B8" t="s">
        <v>697</v>
      </c>
      <c r="D8" s="14"/>
      <c r="F8" s="14"/>
      <c r="H8" s="3">
        <v>1</v>
      </c>
      <c r="J8" s="3">
        <v>1</v>
      </c>
    </row>
    <row r="10" spans="1:10">
      <c r="B10" s="21" t="s">
        <v>60</v>
      </c>
    </row>
    <row r="11" spans="1:10" ht="45" customHeight="1">
      <c r="B11" s="57" t="s">
        <v>698</v>
      </c>
      <c r="C11" s="57"/>
      <c r="D11" s="57"/>
      <c r="E11" s="57"/>
      <c r="F11" s="57"/>
    </row>
    <row r="13" spans="1:10" ht="25.5">
      <c r="A13" s="3" t="s">
        <v>699</v>
      </c>
      <c r="B13" t="s">
        <v>700</v>
      </c>
      <c r="D13" s="14"/>
      <c r="F13" s="14"/>
      <c r="H13" s="3">
        <v>1</v>
      </c>
      <c r="J13" s="3">
        <v>1</v>
      </c>
    </row>
    <row r="15" spans="1:10">
      <c r="B15" s="21" t="s">
        <v>60</v>
      </c>
    </row>
    <row r="16" spans="1:10" ht="135" customHeight="1">
      <c r="B16" s="57" t="s">
        <v>701</v>
      </c>
      <c r="C16" s="57"/>
      <c r="D16" s="57"/>
      <c r="E16" s="57"/>
      <c r="F16" s="57"/>
    </row>
    <row r="18" spans="1:10" ht="25.5">
      <c r="A18" s="3" t="s">
        <v>702</v>
      </c>
      <c r="B18" t="s">
        <v>703</v>
      </c>
      <c r="D18" s="14"/>
      <c r="F18" s="14"/>
      <c r="H18" s="3">
        <v>1</v>
      </c>
      <c r="J18" s="3">
        <v>1</v>
      </c>
    </row>
    <row r="20" spans="1:10">
      <c r="B20" s="21" t="s">
        <v>60</v>
      </c>
    </row>
    <row r="21" spans="1:10" ht="60" customHeight="1">
      <c r="B21" s="57" t="s">
        <v>704</v>
      </c>
      <c r="C21" s="57"/>
      <c r="D21" s="57"/>
      <c r="E21" s="57"/>
      <c r="F21" s="57"/>
    </row>
    <row r="23" spans="1:10" ht="25.5">
      <c r="A23" s="3" t="s">
        <v>705</v>
      </c>
      <c r="B23" t="s">
        <v>706</v>
      </c>
      <c r="D23" s="14"/>
      <c r="F23" s="14"/>
      <c r="H23" s="3">
        <v>2</v>
      </c>
      <c r="J23" s="3">
        <v>2</v>
      </c>
    </row>
    <row r="25" spans="1:10">
      <c r="B25" s="21" t="s">
        <v>60</v>
      </c>
    </row>
    <row r="26" spans="1:10" ht="240" customHeight="1">
      <c r="B26" s="57" t="s">
        <v>707</v>
      </c>
      <c r="C26" s="57"/>
      <c r="D26" s="57"/>
      <c r="E26" s="57"/>
      <c r="F26" s="57"/>
    </row>
    <row r="28" spans="1:10" ht="25.5">
      <c r="A28" s="3" t="s">
        <v>708</v>
      </c>
      <c r="B28" t="s">
        <v>709</v>
      </c>
      <c r="D28" s="14"/>
      <c r="F28" s="14"/>
      <c r="H28" s="3">
        <v>2</v>
      </c>
      <c r="J28" s="3">
        <v>2</v>
      </c>
    </row>
    <row r="30" spans="1:10">
      <c r="B30" s="21" t="s">
        <v>60</v>
      </c>
    </row>
    <row r="31" spans="1:10" ht="90" customHeight="1">
      <c r="B31" s="57" t="s">
        <v>710</v>
      </c>
      <c r="C31" s="57"/>
      <c r="D31" s="57"/>
      <c r="E31" s="57"/>
      <c r="F31" s="57"/>
    </row>
    <row r="33" spans="1:10">
      <c r="A33" s="3" t="s">
        <v>711</v>
      </c>
      <c r="B33" t="s">
        <v>712</v>
      </c>
      <c r="D33" s="14"/>
      <c r="F33" s="14"/>
      <c r="H33" s="3">
        <v>2</v>
      </c>
      <c r="J33" s="3">
        <v>2</v>
      </c>
    </row>
    <row r="35" spans="1:10">
      <c r="B35" s="21" t="s">
        <v>60</v>
      </c>
    </row>
    <row r="36" spans="1:10" ht="135" customHeight="1">
      <c r="B36" s="57" t="s">
        <v>713</v>
      </c>
      <c r="C36" s="57"/>
      <c r="D36" s="57"/>
      <c r="E36" s="57"/>
      <c r="F36" s="57"/>
    </row>
    <row r="38" spans="1:10">
      <c r="A38" s="3" t="s">
        <v>714</v>
      </c>
      <c r="B38" t="s">
        <v>715</v>
      </c>
      <c r="D38" s="14"/>
      <c r="F38" s="14"/>
      <c r="H38" s="3">
        <v>2</v>
      </c>
      <c r="J38" s="3">
        <v>2</v>
      </c>
    </row>
    <row r="40" spans="1:10">
      <c r="B40" s="21" t="s">
        <v>60</v>
      </c>
    </row>
    <row r="41" spans="1:10" ht="150" customHeight="1">
      <c r="B41" s="57" t="s">
        <v>716</v>
      </c>
      <c r="C41" s="57"/>
      <c r="D41" s="57"/>
      <c r="E41" s="57"/>
      <c r="F41" s="57"/>
    </row>
    <row r="43" spans="1:10">
      <c r="A43" s="3" t="s">
        <v>717</v>
      </c>
      <c r="B43" t="s">
        <v>718</v>
      </c>
      <c r="D43" s="14"/>
      <c r="F43" s="14"/>
      <c r="H43" s="3">
        <v>3</v>
      </c>
      <c r="J43" s="3">
        <v>3</v>
      </c>
    </row>
    <row r="45" spans="1:10">
      <c r="B45" s="21" t="s">
        <v>60</v>
      </c>
    </row>
    <row r="46" spans="1:10" ht="150" customHeight="1">
      <c r="B46" s="57" t="s">
        <v>719</v>
      </c>
      <c r="C46" s="57"/>
      <c r="D46" s="57"/>
      <c r="E46" s="57"/>
      <c r="F46" s="57"/>
    </row>
    <row r="48" spans="1:10" ht="25.5">
      <c r="A48" s="3" t="s">
        <v>720</v>
      </c>
      <c r="B48" t="s">
        <v>721</v>
      </c>
      <c r="D48" s="14"/>
      <c r="F48" s="14"/>
      <c r="H48" s="3">
        <v>3</v>
      </c>
      <c r="J48" s="3">
        <v>3</v>
      </c>
    </row>
    <row r="50" spans="1:10">
      <c r="B50" s="21" t="s">
        <v>60</v>
      </c>
    </row>
    <row r="51" spans="1:10" ht="135" customHeight="1">
      <c r="B51" s="57" t="s">
        <v>722</v>
      </c>
      <c r="C51" s="57"/>
      <c r="D51" s="57"/>
      <c r="E51" s="57"/>
      <c r="F51" s="57"/>
    </row>
    <row r="53" spans="1:10">
      <c r="A53" s="3" t="s">
        <v>723</v>
      </c>
      <c r="B53" t="s">
        <v>724</v>
      </c>
      <c r="D53" s="14"/>
      <c r="F53" s="14"/>
      <c r="H53" s="3">
        <v>3</v>
      </c>
      <c r="J53" s="3">
        <v>3</v>
      </c>
    </row>
    <row r="55" spans="1:10">
      <c r="B55" s="21" t="s">
        <v>60</v>
      </c>
    </row>
    <row r="56" spans="1:10" ht="210" customHeight="1">
      <c r="B56" s="57" t="s">
        <v>725</v>
      </c>
      <c r="C56" s="57"/>
      <c r="D56" s="57"/>
      <c r="E56" s="57"/>
      <c r="F56" s="57"/>
    </row>
    <row r="57" spans="1:10">
      <c r="A57" s="9" t="s">
        <v>726</v>
      </c>
      <c r="B57" s="8" t="s">
        <v>727</v>
      </c>
      <c r="C57" s="8"/>
      <c r="D57" s="8"/>
      <c r="E57" s="8"/>
      <c r="F57" s="8"/>
      <c r="G57" s="8"/>
      <c r="H57" s="8"/>
      <c r="I57" s="8"/>
      <c r="J57" s="8"/>
    </row>
    <row r="58" spans="1:10" ht="38.25">
      <c r="A58" s="3" t="s">
        <v>728</v>
      </c>
      <c r="B58" t="s">
        <v>729</v>
      </c>
      <c r="D58" s="14"/>
      <c r="F58" s="14"/>
      <c r="H58" s="3">
        <v>1</v>
      </c>
      <c r="J58" s="3">
        <v>1</v>
      </c>
    </row>
    <row r="60" spans="1:10">
      <c r="B60" s="21" t="s">
        <v>60</v>
      </c>
    </row>
    <row r="61" spans="1:10" ht="105" customHeight="1">
      <c r="B61" s="57" t="s">
        <v>730</v>
      </c>
      <c r="C61" s="57"/>
      <c r="D61" s="57"/>
      <c r="E61" s="57"/>
      <c r="F61" s="57"/>
    </row>
    <row r="63" spans="1:10" ht="25.5">
      <c r="A63" s="3" t="s">
        <v>731</v>
      </c>
      <c r="B63" t="s">
        <v>732</v>
      </c>
      <c r="D63" s="14"/>
      <c r="F63" s="14"/>
      <c r="H63" s="3">
        <v>1</v>
      </c>
      <c r="J63" s="3">
        <v>1</v>
      </c>
    </row>
    <row r="65" spans="1:10">
      <c r="B65" s="21" t="s">
        <v>60</v>
      </c>
    </row>
    <row r="66" spans="1:10" ht="30" customHeight="1">
      <c r="B66" s="57" t="s">
        <v>733</v>
      </c>
      <c r="C66" s="57"/>
      <c r="D66" s="57"/>
      <c r="E66" s="57"/>
      <c r="F66" s="57"/>
    </row>
    <row r="68" spans="1:10" ht="38.25">
      <c r="A68" s="3" t="s">
        <v>734</v>
      </c>
      <c r="B68" t="s">
        <v>735</v>
      </c>
      <c r="D68" s="14"/>
      <c r="F68" s="14"/>
      <c r="H68" s="3">
        <v>1</v>
      </c>
      <c r="J68" s="3">
        <v>1</v>
      </c>
    </row>
    <row r="70" spans="1:10">
      <c r="B70" s="21" t="s">
        <v>60</v>
      </c>
    </row>
    <row r="71" spans="1:10" ht="90" customHeight="1">
      <c r="B71" s="57" t="s">
        <v>736</v>
      </c>
      <c r="C71" s="57"/>
      <c r="D71" s="57"/>
      <c r="E71" s="57"/>
      <c r="F71" s="57"/>
    </row>
    <row r="73" spans="1:10" ht="25.5">
      <c r="A73" s="3" t="s">
        <v>737</v>
      </c>
      <c r="B73" t="s">
        <v>738</v>
      </c>
      <c r="D73" s="14"/>
      <c r="F73" s="14"/>
      <c r="H73" s="3">
        <v>2</v>
      </c>
      <c r="J73" s="3">
        <v>2</v>
      </c>
    </row>
    <row r="75" spans="1:10">
      <c r="B75" s="21" t="s">
        <v>60</v>
      </c>
    </row>
    <row r="76" spans="1:10" ht="135" customHeight="1">
      <c r="B76" s="57" t="s">
        <v>739</v>
      </c>
      <c r="C76" s="57"/>
      <c r="D76" s="57"/>
      <c r="E76" s="57"/>
      <c r="F76" s="57"/>
    </row>
    <row r="78" spans="1:10" ht="25.5">
      <c r="A78" s="3" t="s">
        <v>740</v>
      </c>
      <c r="B78" t="s">
        <v>741</v>
      </c>
      <c r="D78" s="14"/>
      <c r="F78" s="14"/>
      <c r="H78" s="3">
        <v>2</v>
      </c>
      <c r="J78" s="3">
        <v>2</v>
      </c>
    </row>
    <row r="80" spans="1:10">
      <c r="B80" s="21" t="s">
        <v>60</v>
      </c>
    </row>
    <row r="81" spans="1:10" ht="30" customHeight="1">
      <c r="B81" s="57" t="s">
        <v>742</v>
      </c>
      <c r="C81" s="57"/>
      <c r="D81" s="57"/>
      <c r="E81" s="57"/>
      <c r="F81" s="57"/>
    </row>
    <row r="83" spans="1:10">
      <c r="A83" s="3" t="s">
        <v>743</v>
      </c>
      <c r="B83" t="s">
        <v>744</v>
      </c>
      <c r="D83" s="14"/>
      <c r="F83" s="14"/>
      <c r="H83" s="3">
        <v>2</v>
      </c>
      <c r="J83" s="3">
        <v>2</v>
      </c>
    </row>
    <row r="85" spans="1:10">
      <c r="B85" s="21" t="s">
        <v>60</v>
      </c>
    </row>
    <row r="86" spans="1:10" ht="45" customHeight="1">
      <c r="B86" s="57" t="s">
        <v>745</v>
      </c>
      <c r="C86" s="57"/>
      <c r="D86" s="57"/>
      <c r="E86" s="57"/>
      <c r="F86" s="57"/>
    </row>
    <row r="88" spans="1:10">
      <c r="A88" s="3" t="s">
        <v>746</v>
      </c>
      <c r="B88" t="s">
        <v>747</v>
      </c>
      <c r="D88" s="14"/>
      <c r="F88" s="14"/>
      <c r="H88" s="3">
        <v>2</v>
      </c>
      <c r="J88" s="3">
        <v>1</v>
      </c>
    </row>
    <row r="90" spans="1:10">
      <c r="B90" s="21" t="s">
        <v>60</v>
      </c>
    </row>
    <row r="91" spans="1:10" ht="90" customHeight="1">
      <c r="B91" s="57" t="s">
        <v>748</v>
      </c>
      <c r="C91" s="57"/>
      <c r="D91" s="57"/>
      <c r="E91" s="57"/>
      <c r="F91" s="57"/>
    </row>
    <row r="93" spans="1:10" ht="25.5">
      <c r="A93" s="3" t="s">
        <v>749</v>
      </c>
      <c r="B93" t="s">
        <v>750</v>
      </c>
      <c r="D93" s="14"/>
      <c r="F93" s="14"/>
      <c r="H93" s="3">
        <v>2</v>
      </c>
      <c r="J93" s="3">
        <v>1</v>
      </c>
    </row>
    <row r="95" spans="1:10">
      <c r="B95" s="21" t="s">
        <v>60</v>
      </c>
    </row>
    <row r="96" spans="1:10" ht="30" customHeight="1">
      <c r="B96" s="57" t="s">
        <v>751</v>
      </c>
      <c r="C96" s="57"/>
      <c r="D96" s="57"/>
      <c r="E96" s="57"/>
      <c r="F96" s="57"/>
    </row>
    <row r="98" spans="1:10" ht="25.5">
      <c r="A98" s="3" t="s">
        <v>752</v>
      </c>
      <c r="B98" t="s">
        <v>753</v>
      </c>
      <c r="D98" s="14"/>
      <c r="F98" s="14"/>
      <c r="H98" s="3">
        <v>3</v>
      </c>
      <c r="J98" s="3">
        <v>3</v>
      </c>
    </row>
    <row r="100" spans="1:10">
      <c r="B100" s="21" t="s">
        <v>60</v>
      </c>
    </row>
    <row r="101" spans="1:10" ht="195" customHeight="1">
      <c r="B101" s="57" t="s">
        <v>754</v>
      </c>
      <c r="C101" s="57"/>
      <c r="D101" s="57"/>
      <c r="E101" s="57"/>
      <c r="F101" s="57"/>
    </row>
    <row r="102" spans="1:10">
      <c r="B102" s="7"/>
    </row>
    <row r="103" spans="1:10" ht="25.5">
      <c r="A103" s="3" t="s">
        <v>755</v>
      </c>
      <c r="B103" t="s">
        <v>756</v>
      </c>
      <c r="D103" s="14"/>
      <c r="F103" s="14"/>
      <c r="H103" s="3">
        <v>3</v>
      </c>
      <c r="J103" s="3">
        <v>3</v>
      </c>
    </row>
    <row r="105" spans="1:10">
      <c r="B105" s="21" t="s">
        <v>60</v>
      </c>
    </row>
    <row r="106" spans="1:10" ht="120" customHeight="1">
      <c r="B106" s="57" t="s">
        <v>757</v>
      </c>
      <c r="C106" s="57"/>
      <c r="D106" s="57"/>
      <c r="E106" s="57"/>
      <c r="F106" s="57"/>
    </row>
    <row r="108" spans="1:10" ht="25.5">
      <c r="A108" s="3" t="s">
        <v>758</v>
      </c>
      <c r="B108" t="s">
        <v>759</v>
      </c>
      <c r="D108" s="14"/>
      <c r="F108" s="14"/>
      <c r="H108" s="3">
        <v>3</v>
      </c>
      <c r="J108" s="3">
        <v>3</v>
      </c>
    </row>
    <row r="110" spans="1:10">
      <c r="B110" s="21" t="s">
        <v>60</v>
      </c>
    </row>
    <row r="111" spans="1:10" ht="75" customHeight="1">
      <c r="B111" s="57" t="s">
        <v>760</v>
      </c>
      <c r="C111" s="57"/>
      <c r="D111" s="57"/>
      <c r="E111" s="57"/>
      <c r="F111" s="57"/>
    </row>
    <row r="112" spans="1:10">
      <c r="B112" s="7"/>
    </row>
    <row r="113" spans="1:10" ht="25.5">
      <c r="A113" s="3" t="s">
        <v>761</v>
      </c>
      <c r="B113" t="s">
        <v>762</v>
      </c>
      <c r="D113" s="14"/>
      <c r="F113" s="14"/>
      <c r="H113" s="3">
        <v>3</v>
      </c>
      <c r="J113" s="3">
        <v>3</v>
      </c>
    </row>
    <row r="115" spans="1:10">
      <c r="B115" s="21" t="s">
        <v>60</v>
      </c>
    </row>
    <row r="116" spans="1:10" ht="60" customHeight="1">
      <c r="B116" s="57" t="s">
        <v>763</v>
      </c>
      <c r="C116" s="57"/>
      <c r="D116" s="57"/>
      <c r="E116" s="57"/>
      <c r="F116" s="57"/>
    </row>
    <row r="118" spans="1:10">
      <c r="A118" s="3" t="s">
        <v>764</v>
      </c>
      <c r="B118" t="s">
        <v>765</v>
      </c>
      <c r="D118" s="14"/>
      <c r="F118" s="14"/>
      <c r="H118" s="3">
        <v>3</v>
      </c>
      <c r="J118" s="3">
        <v>3</v>
      </c>
    </row>
    <row r="120" spans="1:10">
      <c r="B120" s="21" t="s">
        <v>60</v>
      </c>
    </row>
    <row r="121" spans="1:10" ht="150" customHeight="1">
      <c r="B121" s="57" t="s">
        <v>766</v>
      </c>
      <c r="C121" s="57"/>
      <c r="D121" s="57"/>
      <c r="E121" s="57"/>
      <c r="F121" s="57"/>
    </row>
    <row r="122" spans="1:10">
      <c r="B122" s="7"/>
    </row>
    <row r="123" spans="1:10" ht="25.5">
      <c r="A123" s="3" t="s">
        <v>767</v>
      </c>
      <c r="B123" t="s">
        <v>768</v>
      </c>
      <c r="D123" s="14"/>
      <c r="F123" s="14"/>
      <c r="H123" s="3">
        <v>3</v>
      </c>
      <c r="J123" s="3">
        <v>3</v>
      </c>
    </row>
    <row r="125" spans="1:10">
      <c r="B125" s="21" t="s">
        <v>60</v>
      </c>
    </row>
    <row r="126" spans="1:10" ht="75" customHeight="1">
      <c r="B126" s="57" t="s">
        <v>769</v>
      </c>
      <c r="C126" s="57"/>
      <c r="D126" s="57"/>
      <c r="E126" s="57"/>
      <c r="F126" s="57"/>
    </row>
    <row r="127" spans="1:10">
      <c r="A127" s="9" t="s">
        <v>770</v>
      </c>
      <c r="B127" s="8" t="s">
        <v>771</v>
      </c>
      <c r="C127" s="8"/>
      <c r="D127" s="8"/>
      <c r="E127" s="8"/>
      <c r="F127" s="8"/>
      <c r="G127" s="8"/>
      <c r="H127" s="8"/>
      <c r="I127" s="8"/>
      <c r="J127" s="8"/>
    </row>
    <row r="128" spans="1:10" ht="25.5">
      <c r="A128" s="3" t="s">
        <v>772</v>
      </c>
      <c r="B128" t="s">
        <v>773</v>
      </c>
      <c r="D128" s="14"/>
      <c r="F128" s="14"/>
      <c r="H128" s="3">
        <v>1</v>
      </c>
      <c r="J128" s="3">
        <v>1</v>
      </c>
    </row>
    <row r="130" spans="1:10">
      <c r="B130" s="21" t="s">
        <v>60</v>
      </c>
    </row>
    <row r="131" spans="1:10" ht="120" customHeight="1">
      <c r="B131" s="57" t="s">
        <v>774</v>
      </c>
      <c r="C131" s="57"/>
      <c r="D131" s="57"/>
      <c r="E131" s="57"/>
      <c r="F131" s="57"/>
    </row>
    <row r="133" spans="1:10">
      <c r="A133" s="3" t="s">
        <v>775</v>
      </c>
      <c r="B133" t="s">
        <v>776</v>
      </c>
      <c r="D133" s="14"/>
      <c r="F133" s="14"/>
      <c r="H133" s="3">
        <v>2</v>
      </c>
      <c r="J133" s="3">
        <v>2</v>
      </c>
    </row>
    <row r="135" spans="1:10">
      <c r="B135" s="21" t="s">
        <v>60</v>
      </c>
    </row>
    <row r="136" spans="1:10" ht="120" customHeight="1">
      <c r="B136" s="57" t="s">
        <v>777</v>
      </c>
      <c r="C136" s="57"/>
      <c r="D136" s="57"/>
      <c r="E136" s="57"/>
      <c r="F136" s="57"/>
    </row>
    <row r="138" spans="1:10">
      <c r="A138" s="3" t="s">
        <v>778</v>
      </c>
      <c r="B138" t="s">
        <v>779</v>
      </c>
      <c r="D138" s="14"/>
      <c r="F138" s="14"/>
      <c r="H138" s="3">
        <v>2</v>
      </c>
      <c r="J138" s="3">
        <v>2</v>
      </c>
    </row>
    <row r="140" spans="1:10">
      <c r="B140" s="21" t="s">
        <v>60</v>
      </c>
    </row>
    <row r="141" spans="1:10" ht="90" customHeight="1">
      <c r="B141" s="57" t="s">
        <v>780</v>
      </c>
      <c r="C141" s="57"/>
      <c r="D141" s="57"/>
      <c r="E141" s="57"/>
      <c r="F141" s="57"/>
    </row>
    <row r="142" spans="1:10">
      <c r="F142" s="10" t="s">
        <v>150</v>
      </c>
    </row>
  </sheetData>
  <sheetProtection algorithmName="SHA-1" hashValue="1A2nGLb1UhGPg3XLzYZIG8asbRo=" saltValue="+hrpkCm1cjr9BLLkFcSYag==" spinCount="100000" sheet="1" objects="1" scenarios="1"/>
  <mergeCells count="27">
    <mergeCell ref="B21:F21"/>
    <mergeCell ref="B16:F16"/>
    <mergeCell ref="B11:F11"/>
    <mergeCell ref="B51:F51"/>
    <mergeCell ref="B46:F46"/>
    <mergeCell ref="B41:F41"/>
    <mergeCell ref="B36:F36"/>
    <mergeCell ref="B31:F31"/>
    <mergeCell ref="B26:F26"/>
    <mergeCell ref="B56:F56"/>
    <mergeCell ref="B111:F111"/>
    <mergeCell ref="B106:F106"/>
    <mergeCell ref="B101:F101"/>
    <mergeCell ref="B96:F96"/>
    <mergeCell ref="B91:F91"/>
    <mergeCell ref="B86:F86"/>
    <mergeCell ref="B81:F81"/>
    <mergeCell ref="B76:F76"/>
    <mergeCell ref="B71:F71"/>
    <mergeCell ref="B66:F66"/>
    <mergeCell ref="B61:F61"/>
    <mergeCell ref="B116:F116"/>
    <mergeCell ref="B141:F141"/>
    <mergeCell ref="B136:F136"/>
    <mergeCell ref="B131:F131"/>
    <mergeCell ref="B126:F126"/>
    <mergeCell ref="B121:F121"/>
  </mergeCells>
  <dataValidations count="3">
    <dataValidation type="list" allowBlank="1" showInputMessage="1" showErrorMessage="1" sqref="D58 D63 D68 D8 D13 D18" xr:uid="{0E21404C-2F44-9446-B3D4-422D3B2EFF15}">
      <formula1>Response_MIL1</formula1>
    </dataValidation>
    <dataValidation type="list" allowBlank="1" showInputMessage="1" showErrorMessage="1" sqref="D138 D133 D128" xr:uid="{35A45196-BC23-B148-AE0F-58D725F92F8E}">
      <formula1>AntiPattern</formula1>
    </dataValidation>
    <dataValidation type="list" allowBlank="1" showInputMessage="1" showErrorMessage="1" sqref="D23 D28 D33 D38 D43 D48 D53 D73 D78 D83 D88 D93 D98 D103 D108 D113 D118 D123" xr:uid="{B33BBF39-657B-E446-9EB0-716FC5426AF3}">
      <formula1>Response_MIL23</formula1>
    </dataValidation>
  </dataValidations>
  <hyperlinks>
    <hyperlink ref="A1" location="Home!G14" tooltip="Click here to return Home" display="Home" xr:uid="{10C69BF6-1EF7-B24E-B9FD-59CF6C3E1C09}"/>
    <hyperlink ref="F142" location="TVM!D12" tooltip="Go to Top" display="Go to Top" xr:uid="{107F772A-D2B5-1C43-8304-AF9633D0F18F}"/>
  </hyperlinks>
  <pageMargins left="0.7" right="0.7" top="0.75" bottom="0.75" header="0.3" footer="0.3"/>
  <pageSetup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1441-4C2E-C041-BF0A-A5877895BD66}">
  <sheetPr codeName="Sheet8">
    <tabColor theme="3" tint="0.79998168889431442"/>
    <outlinePr summaryBelow="0"/>
  </sheetPr>
  <dimension ref="A1:J172"/>
  <sheetViews>
    <sheetView zoomScale="120" zoomScaleNormal="120" workbookViewId="0">
      <pane ySplit="6" topLeftCell="A7" activePane="bottomLeft" state="frozen"/>
      <selection pane="bottomLeft" activeCell="A7" sqref="A7"/>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20.25" thickBot="1">
      <c r="B2" s="4" t="s">
        <v>27</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781</v>
      </c>
      <c r="B7" s="8" t="s">
        <v>782</v>
      </c>
      <c r="C7" s="8"/>
      <c r="D7" s="8"/>
      <c r="E7" s="8"/>
      <c r="F7" s="8"/>
      <c r="G7" s="8"/>
      <c r="H7" s="8"/>
      <c r="I7" s="8"/>
      <c r="J7" s="8"/>
    </row>
    <row r="8" spans="1:10" ht="25.5">
      <c r="A8" s="3" t="s">
        <v>783</v>
      </c>
      <c r="B8" t="s">
        <v>784</v>
      </c>
      <c r="D8" s="14"/>
      <c r="F8" s="14"/>
      <c r="H8" s="3">
        <v>1</v>
      </c>
      <c r="J8" s="3">
        <v>1</v>
      </c>
    </row>
    <row r="10" spans="1:10">
      <c r="B10" s="21" t="s">
        <v>60</v>
      </c>
    </row>
    <row r="11" spans="1:10" ht="30" customHeight="1">
      <c r="B11" s="57" t="s">
        <v>785</v>
      </c>
      <c r="C11" s="57"/>
      <c r="D11" s="57"/>
      <c r="E11" s="57"/>
      <c r="F11" s="57"/>
    </row>
    <row r="13" spans="1:10" ht="38.25">
      <c r="A13" s="3" t="s">
        <v>786</v>
      </c>
      <c r="B13" t="s">
        <v>787</v>
      </c>
      <c r="D13" s="14"/>
      <c r="F13" s="14"/>
      <c r="H13" s="3">
        <v>2</v>
      </c>
      <c r="J13" s="3">
        <v>1</v>
      </c>
    </row>
    <row r="15" spans="1:10">
      <c r="B15" s="21" t="s">
        <v>60</v>
      </c>
    </row>
    <row r="16" spans="1:10" ht="150" customHeight="1">
      <c r="B16" s="57" t="s">
        <v>788</v>
      </c>
      <c r="C16" s="57"/>
      <c r="D16" s="57"/>
      <c r="E16" s="57"/>
      <c r="F16" s="57"/>
    </row>
    <row r="18" spans="1:10">
      <c r="A18" s="3" t="s">
        <v>789</v>
      </c>
      <c r="B18" t="s">
        <v>790</v>
      </c>
      <c r="D18" s="14"/>
      <c r="F18" s="14"/>
      <c r="H18" s="3">
        <v>2</v>
      </c>
      <c r="J18" s="3">
        <v>2</v>
      </c>
    </row>
    <row r="20" spans="1:10">
      <c r="B20" s="21" t="s">
        <v>60</v>
      </c>
    </row>
    <row r="21" spans="1:10" ht="60" customHeight="1">
      <c r="B21" s="57" t="s">
        <v>791</v>
      </c>
      <c r="C21" s="57"/>
      <c r="D21" s="57"/>
      <c r="E21" s="57"/>
      <c r="F21" s="57"/>
    </row>
    <row r="23" spans="1:10">
      <c r="A23" s="3" t="s">
        <v>792</v>
      </c>
      <c r="B23" t="s">
        <v>793</v>
      </c>
      <c r="D23" s="14"/>
      <c r="F23" s="14"/>
      <c r="H23" s="3">
        <v>3</v>
      </c>
      <c r="J23" s="3">
        <v>3</v>
      </c>
    </row>
    <row r="25" spans="1:10">
      <c r="B25" s="21" t="s">
        <v>60</v>
      </c>
    </row>
    <row r="26" spans="1:10" ht="150" customHeight="1">
      <c r="B26" s="57" t="s">
        <v>794</v>
      </c>
      <c r="C26" s="57"/>
      <c r="D26" s="57"/>
      <c r="E26" s="57"/>
      <c r="F26" s="57"/>
    </row>
    <row r="28" spans="1:10" ht="25.5">
      <c r="A28" s="3" t="s">
        <v>795</v>
      </c>
      <c r="B28" t="s">
        <v>796</v>
      </c>
      <c r="D28" s="14"/>
      <c r="F28" s="14"/>
      <c r="H28" s="3">
        <v>3</v>
      </c>
      <c r="J28" s="3">
        <v>3</v>
      </c>
    </row>
    <row r="30" spans="1:10">
      <c r="B30" s="21" t="s">
        <v>60</v>
      </c>
    </row>
    <row r="31" spans="1:10" ht="90" customHeight="1">
      <c r="B31" s="57" t="s">
        <v>797</v>
      </c>
      <c r="C31" s="57"/>
      <c r="D31" s="57"/>
      <c r="E31" s="57"/>
      <c r="F31" s="57"/>
    </row>
    <row r="32" spans="1:10">
      <c r="A32" s="9" t="s">
        <v>798</v>
      </c>
      <c r="B32" s="8" t="s">
        <v>799</v>
      </c>
      <c r="C32" s="8"/>
      <c r="D32" s="8"/>
      <c r="E32" s="8"/>
      <c r="F32" s="8"/>
      <c r="G32" s="8"/>
      <c r="H32" s="8"/>
      <c r="I32" s="8"/>
      <c r="J32" s="8"/>
    </row>
    <row r="33" spans="1:10" ht="25.5">
      <c r="A33" s="3" t="s">
        <v>800</v>
      </c>
      <c r="B33" t="s">
        <v>801</v>
      </c>
      <c r="D33" s="14"/>
      <c r="F33" s="14"/>
      <c r="H33" s="3">
        <v>1</v>
      </c>
      <c r="J33" s="3">
        <v>1</v>
      </c>
    </row>
    <row r="35" spans="1:10">
      <c r="B35" s="21" t="s">
        <v>60</v>
      </c>
    </row>
    <row r="36" spans="1:10" ht="30" customHeight="1">
      <c r="B36" s="57" t="s">
        <v>802</v>
      </c>
      <c r="C36" s="57"/>
      <c r="D36" s="57"/>
      <c r="E36" s="57"/>
      <c r="F36" s="57"/>
    </row>
    <row r="38" spans="1:10" ht="25.5">
      <c r="A38" s="3" t="s">
        <v>803</v>
      </c>
      <c r="B38" t="s">
        <v>804</v>
      </c>
      <c r="D38" s="14"/>
      <c r="F38" s="14"/>
      <c r="H38" s="3">
        <v>1</v>
      </c>
      <c r="J38" s="3">
        <v>1</v>
      </c>
    </row>
    <row r="40" spans="1:10">
      <c r="B40" s="21" t="s">
        <v>60</v>
      </c>
    </row>
    <row r="41" spans="1:10" ht="90" customHeight="1">
      <c r="B41" s="57" t="s">
        <v>805</v>
      </c>
      <c r="C41" s="57"/>
      <c r="D41" s="57"/>
      <c r="E41" s="57"/>
      <c r="F41" s="57"/>
    </row>
    <row r="43" spans="1:10" ht="25.5">
      <c r="A43" s="3" t="s">
        <v>806</v>
      </c>
      <c r="B43" t="s">
        <v>807</v>
      </c>
      <c r="D43" s="14"/>
      <c r="F43" s="14"/>
      <c r="H43" s="3">
        <v>2</v>
      </c>
      <c r="J43" s="3">
        <v>2</v>
      </c>
    </row>
    <row r="45" spans="1:10">
      <c r="B45" s="21" t="s">
        <v>60</v>
      </c>
    </row>
    <row r="46" spans="1:10" ht="75" customHeight="1">
      <c r="B46" s="57" t="s">
        <v>808</v>
      </c>
      <c r="C46" s="57"/>
      <c r="D46" s="57"/>
      <c r="E46" s="57"/>
      <c r="F46" s="57"/>
    </row>
    <row r="48" spans="1:10" ht="25.5">
      <c r="A48" s="3" t="s">
        <v>809</v>
      </c>
      <c r="B48" t="s">
        <v>810</v>
      </c>
      <c r="D48" s="14"/>
      <c r="F48" s="14"/>
      <c r="H48" s="3">
        <v>2</v>
      </c>
      <c r="J48" s="3">
        <v>1</v>
      </c>
    </row>
    <row r="50" spans="1:10">
      <c r="B50" s="21" t="s">
        <v>60</v>
      </c>
    </row>
    <row r="51" spans="1:10" ht="120" customHeight="1">
      <c r="B51" s="57" t="s">
        <v>811</v>
      </c>
      <c r="C51" s="57"/>
      <c r="D51" s="57"/>
      <c r="E51" s="57"/>
      <c r="F51" s="57"/>
    </row>
    <row r="53" spans="1:10" ht="25.5">
      <c r="A53" s="3" t="s">
        <v>812</v>
      </c>
      <c r="B53" t="s">
        <v>813</v>
      </c>
      <c r="D53" s="14"/>
      <c r="F53" s="14"/>
      <c r="H53" s="3">
        <v>2</v>
      </c>
      <c r="J53" s="3">
        <v>2</v>
      </c>
    </row>
    <row r="55" spans="1:10">
      <c r="B55" s="21" t="s">
        <v>60</v>
      </c>
    </row>
    <row r="56" spans="1:10" ht="90" customHeight="1">
      <c r="B56" s="57" t="s">
        <v>814</v>
      </c>
      <c r="C56" s="57"/>
      <c r="D56" s="57"/>
      <c r="E56" s="57"/>
      <c r="F56" s="57"/>
    </row>
    <row r="58" spans="1:10">
      <c r="A58" s="3" t="s">
        <v>815</v>
      </c>
      <c r="B58" t="s">
        <v>816</v>
      </c>
      <c r="D58" s="14"/>
      <c r="F58" s="14"/>
      <c r="H58" s="3">
        <v>2</v>
      </c>
      <c r="J58" s="3">
        <v>2</v>
      </c>
    </row>
    <row r="60" spans="1:10">
      <c r="B60" s="21" t="s">
        <v>60</v>
      </c>
    </row>
    <row r="61" spans="1:10" ht="240" customHeight="1">
      <c r="B61" s="57" t="s">
        <v>817</v>
      </c>
      <c r="C61" s="57"/>
      <c r="D61" s="57"/>
      <c r="E61" s="57"/>
      <c r="F61" s="57"/>
    </row>
    <row r="63" spans="1:10">
      <c r="A63" s="3" t="s">
        <v>818</v>
      </c>
      <c r="B63" t="s">
        <v>819</v>
      </c>
      <c r="D63" s="14"/>
      <c r="F63" s="14"/>
      <c r="H63" s="3">
        <v>3</v>
      </c>
      <c r="J63" s="3">
        <v>2</v>
      </c>
    </row>
    <row r="65" spans="1:10">
      <c r="B65" s="21" t="s">
        <v>60</v>
      </c>
    </row>
    <row r="66" spans="1:10" ht="195" customHeight="1">
      <c r="B66" s="57" t="s">
        <v>820</v>
      </c>
      <c r="C66" s="57"/>
      <c r="D66" s="57"/>
      <c r="E66" s="57"/>
      <c r="F66" s="57"/>
    </row>
    <row r="68" spans="1:10" ht="25.5">
      <c r="A68" s="3" t="s">
        <v>821</v>
      </c>
      <c r="B68" t="s">
        <v>822</v>
      </c>
      <c r="D68" s="14"/>
      <c r="F68" s="14"/>
      <c r="H68" s="3">
        <v>3</v>
      </c>
      <c r="J68" s="3">
        <v>3</v>
      </c>
    </row>
    <row r="70" spans="1:10">
      <c r="B70" s="21" t="s">
        <v>60</v>
      </c>
    </row>
    <row r="71" spans="1:10" ht="75" customHeight="1">
      <c r="B71" s="57" t="s">
        <v>823</v>
      </c>
      <c r="C71" s="57"/>
      <c r="D71" s="57"/>
      <c r="E71" s="57"/>
      <c r="F71" s="57"/>
    </row>
    <row r="73" spans="1:10" ht="25.5">
      <c r="A73" s="3" t="s">
        <v>824</v>
      </c>
      <c r="B73" t="s">
        <v>825</v>
      </c>
      <c r="D73" s="14"/>
      <c r="F73" s="14"/>
      <c r="H73" s="3">
        <v>3</v>
      </c>
      <c r="J73" s="3">
        <v>3</v>
      </c>
    </row>
    <row r="75" spans="1:10">
      <c r="B75" s="21" t="s">
        <v>60</v>
      </c>
    </row>
    <row r="76" spans="1:10" ht="105" customHeight="1">
      <c r="B76" s="57" t="s">
        <v>826</v>
      </c>
      <c r="C76" s="57"/>
      <c r="D76" s="57"/>
      <c r="E76" s="57"/>
      <c r="F76" s="57"/>
    </row>
    <row r="78" spans="1:10">
      <c r="A78" s="3" t="s">
        <v>827</v>
      </c>
      <c r="B78" t="s">
        <v>828</v>
      </c>
      <c r="D78" s="14"/>
      <c r="F78" s="14"/>
      <c r="H78" s="3">
        <v>3</v>
      </c>
      <c r="J78" s="3">
        <v>3</v>
      </c>
    </row>
    <row r="80" spans="1:10">
      <c r="B80" s="21" t="s">
        <v>60</v>
      </c>
    </row>
    <row r="81" spans="1:10" ht="210" customHeight="1">
      <c r="B81" s="57" t="s">
        <v>829</v>
      </c>
      <c r="C81" s="57"/>
      <c r="D81" s="57"/>
      <c r="E81" s="57"/>
      <c r="F81" s="57"/>
    </row>
    <row r="83" spans="1:10">
      <c r="A83" s="3" t="s">
        <v>830</v>
      </c>
      <c r="B83" t="s">
        <v>831</v>
      </c>
      <c r="D83" s="14"/>
      <c r="F83" s="14"/>
      <c r="H83" s="3">
        <v>3</v>
      </c>
      <c r="J83" s="3">
        <v>3</v>
      </c>
    </row>
    <row r="85" spans="1:10">
      <c r="B85" s="21" t="s">
        <v>60</v>
      </c>
    </row>
    <row r="86" spans="1:10" ht="45" customHeight="1">
      <c r="B86" s="57" t="s">
        <v>832</v>
      </c>
      <c r="C86" s="57"/>
      <c r="D86" s="57"/>
      <c r="E86" s="57"/>
      <c r="F86" s="57"/>
    </row>
    <row r="87" spans="1:10">
      <c r="A87" s="9" t="s">
        <v>833</v>
      </c>
      <c r="B87" s="8" t="s">
        <v>834</v>
      </c>
      <c r="C87" s="8"/>
      <c r="D87" s="8"/>
      <c r="E87" s="8"/>
      <c r="F87" s="8"/>
      <c r="G87" s="8"/>
      <c r="H87" s="8"/>
      <c r="I87" s="8"/>
      <c r="J87" s="8"/>
    </row>
    <row r="88" spans="1:10" ht="25.5">
      <c r="A88" s="3" t="s">
        <v>835</v>
      </c>
      <c r="B88" t="s">
        <v>836</v>
      </c>
      <c r="D88" s="14"/>
      <c r="F88" s="14"/>
      <c r="H88" s="3">
        <v>2</v>
      </c>
      <c r="J88" s="3">
        <v>1</v>
      </c>
    </row>
    <row r="90" spans="1:10">
      <c r="B90" s="21" t="s">
        <v>60</v>
      </c>
    </row>
    <row r="91" spans="1:10" ht="180" customHeight="1">
      <c r="B91" s="57" t="s">
        <v>837</v>
      </c>
      <c r="C91" s="57"/>
      <c r="D91" s="57"/>
      <c r="E91" s="57"/>
      <c r="F91" s="57"/>
    </row>
    <row r="93" spans="1:10" ht="38.25">
      <c r="A93" s="3" t="s">
        <v>838</v>
      </c>
      <c r="B93" t="s">
        <v>839</v>
      </c>
      <c r="D93" s="14"/>
      <c r="F93" s="14"/>
      <c r="H93" s="3">
        <v>2</v>
      </c>
      <c r="J93" s="3">
        <v>2</v>
      </c>
    </row>
    <row r="95" spans="1:10">
      <c r="B95" s="21" t="s">
        <v>60</v>
      </c>
    </row>
    <row r="96" spans="1:10" ht="75" customHeight="1">
      <c r="B96" s="57" t="s">
        <v>840</v>
      </c>
      <c r="C96" s="57"/>
      <c r="D96" s="57"/>
      <c r="E96" s="57"/>
      <c r="F96" s="57"/>
    </row>
    <row r="98" spans="1:10" ht="25.5">
      <c r="A98" s="3" t="s">
        <v>841</v>
      </c>
      <c r="B98" t="s">
        <v>842</v>
      </c>
      <c r="D98" s="14"/>
      <c r="F98" s="14"/>
      <c r="H98" s="3">
        <v>2</v>
      </c>
      <c r="J98" s="3">
        <v>2</v>
      </c>
    </row>
    <row r="100" spans="1:10">
      <c r="B100" s="21" t="s">
        <v>60</v>
      </c>
    </row>
    <row r="101" spans="1:10" ht="45" customHeight="1">
      <c r="B101" s="57" t="s">
        <v>843</v>
      </c>
      <c r="C101" s="57"/>
      <c r="D101" s="57"/>
      <c r="E101" s="57"/>
      <c r="F101" s="57"/>
    </row>
    <row r="102" spans="1:10">
      <c r="B102" s="7"/>
    </row>
    <row r="103" spans="1:10" ht="25.5">
      <c r="A103" s="3" t="s">
        <v>844</v>
      </c>
      <c r="B103" t="s">
        <v>845</v>
      </c>
      <c r="D103" s="14"/>
      <c r="F103" s="14"/>
      <c r="H103" s="3">
        <v>3</v>
      </c>
      <c r="J103" s="3">
        <v>2</v>
      </c>
    </row>
    <row r="105" spans="1:10">
      <c r="B105" s="21" t="s">
        <v>60</v>
      </c>
    </row>
    <row r="106" spans="1:10" ht="45" customHeight="1">
      <c r="B106" s="57" t="s">
        <v>846</v>
      </c>
      <c r="C106" s="57"/>
      <c r="D106" s="57"/>
      <c r="E106" s="57"/>
      <c r="F106" s="57"/>
    </row>
    <row r="108" spans="1:10" ht="25.5">
      <c r="A108" s="3" t="s">
        <v>847</v>
      </c>
      <c r="B108" t="s">
        <v>848</v>
      </c>
      <c r="D108" s="14"/>
      <c r="F108" s="14"/>
      <c r="H108" s="3">
        <v>3</v>
      </c>
      <c r="J108" s="3">
        <v>3</v>
      </c>
    </row>
    <row r="110" spans="1:10">
      <c r="B110" s="21" t="s">
        <v>60</v>
      </c>
    </row>
    <row r="111" spans="1:10" ht="30" customHeight="1">
      <c r="B111" s="57" t="s">
        <v>849</v>
      </c>
      <c r="C111" s="57"/>
      <c r="D111" s="57"/>
      <c r="E111" s="57"/>
      <c r="F111" s="57"/>
    </row>
    <row r="112" spans="1:10">
      <c r="B112" s="7"/>
    </row>
    <row r="113" spans="1:10" ht="25.5">
      <c r="A113" s="3" t="s">
        <v>850</v>
      </c>
      <c r="B113" t="s">
        <v>851</v>
      </c>
      <c r="D113" s="14"/>
      <c r="F113" s="14"/>
      <c r="H113" s="3">
        <v>3</v>
      </c>
      <c r="J113" s="3">
        <v>3</v>
      </c>
    </row>
    <row r="115" spans="1:10">
      <c r="B115" s="21" t="s">
        <v>60</v>
      </c>
    </row>
    <row r="116" spans="1:10" ht="270" customHeight="1">
      <c r="B116" s="57" t="s">
        <v>852</v>
      </c>
      <c r="C116" s="57"/>
      <c r="D116" s="57"/>
      <c r="E116" s="57"/>
      <c r="F116" s="57"/>
    </row>
    <row r="117" spans="1:10">
      <c r="A117" s="9" t="s">
        <v>853</v>
      </c>
      <c r="B117" s="8" t="s">
        <v>854</v>
      </c>
      <c r="C117" s="8"/>
      <c r="D117" s="8"/>
      <c r="E117" s="8"/>
      <c r="F117" s="8"/>
      <c r="G117" s="8"/>
      <c r="H117" s="8"/>
      <c r="I117" s="8"/>
      <c r="J117" s="8"/>
    </row>
    <row r="118" spans="1:10" ht="25.5">
      <c r="A118" s="3" t="s">
        <v>855</v>
      </c>
      <c r="B118" t="s">
        <v>856</v>
      </c>
      <c r="D118" s="14"/>
      <c r="F118" s="14"/>
      <c r="H118" s="3">
        <v>2</v>
      </c>
      <c r="J118" s="3">
        <v>2</v>
      </c>
    </row>
    <row r="120" spans="1:10">
      <c r="B120" s="21" t="s">
        <v>60</v>
      </c>
    </row>
    <row r="121" spans="1:10" ht="75" customHeight="1">
      <c r="B121" s="57" t="s">
        <v>857</v>
      </c>
      <c r="C121" s="57"/>
      <c r="D121" s="57"/>
      <c r="E121" s="57"/>
      <c r="F121" s="57"/>
    </row>
    <row r="122" spans="1:10">
      <c r="B122" s="7"/>
    </row>
    <row r="123" spans="1:10">
      <c r="A123" s="3" t="s">
        <v>858</v>
      </c>
      <c r="B123" t="s">
        <v>859</v>
      </c>
      <c r="D123" s="14"/>
      <c r="F123" s="14"/>
      <c r="H123" s="3">
        <v>1</v>
      </c>
      <c r="J123" s="3">
        <v>1</v>
      </c>
    </row>
    <row r="125" spans="1:10">
      <c r="B125" s="21" t="s">
        <v>60</v>
      </c>
    </row>
    <row r="126" spans="1:10" ht="90" customHeight="1">
      <c r="B126" s="57" t="s">
        <v>860</v>
      </c>
      <c r="C126" s="57"/>
      <c r="D126" s="57"/>
      <c r="E126" s="57"/>
      <c r="F126" s="57"/>
    </row>
    <row r="128" spans="1:10" ht="25.5">
      <c r="A128" s="3" t="s">
        <v>861</v>
      </c>
      <c r="B128" t="s">
        <v>862</v>
      </c>
      <c r="D128" s="14"/>
      <c r="F128" s="14"/>
      <c r="H128" s="3">
        <v>2</v>
      </c>
      <c r="J128" s="3">
        <v>2</v>
      </c>
    </row>
    <row r="130" spans="1:10">
      <c r="B130" s="21" t="s">
        <v>60</v>
      </c>
    </row>
    <row r="131" spans="1:10" ht="135" customHeight="1">
      <c r="B131" s="57" t="s">
        <v>863</v>
      </c>
      <c r="C131" s="57"/>
      <c r="D131" s="57"/>
      <c r="E131" s="57"/>
      <c r="F131" s="57"/>
    </row>
    <row r="133" spans="1:10">
      <c r="A133" s="3" t="s">
        <v>864</v>
      </c>
      <c r="B133" t="s">
        <v>865</v>
      </c>
      <c r="D133" s="14"/>
      <c r="F133" s="14"/>
      <c r="H133" s="3">
        <v>2</v>
      </c>
      <c r="J133" s="3">
        <v>2</v>
      </c>
    </row>
    <row r="135" spans="1:10">
      <c r="B135" s="21" t="s">
        <v>60</v>
      </c>
    </row>
    <row r="136" spans="1:10" ht="90" customHeight="1">
      <c r="B136" s="57" t="s">
        <v>866</v>
      </c>
      <c r="C136" s="57"/>
      <c r="D136" s="57"/>
      <c r="E136" s="57"/>
      <c r="F136" s="57"/>
    </row>
    <row r="138" spans="1:10">
      <c r="A138" s="3" t="s">
        <v>867</v>
      </c>
      <c r="B138" t="s">
        <v>868</v>
      </c>
      <c r="D138" s="14"/>
      <c r="F138" s="14"/>
      <c r="H138" s="3">
        <v>2</v>
      </c>
      <c r="J138" s="3">
        <v>2</v>
      </c>
    </row>
    <row r="140" spans="1:10">
      <c r="B140" s="21" t="s">
        <v>60</v>
      </c>
    </row>
    <row r="141" spans="1:10" ht="45" customHeight="1">
      <c r="B141" s="57" t="s">
        <v>869</v>
      </c>
      <c r="C141" s="57"/>
      <c r="D141" s="57"/>
      <c r="E141" s="57"/>
      <c r="F141" s="57"/>
    </row>
    <row r="143" spans="1:10">
      <c r="A143" s="3" t="s">
        <v>870</v>
      </c>
      <c r="B143" t="s">
        <v>871</v>
      </c>
      <c r="D143" s="14"/>
      <c r="F143" s="14"/>
      <c r="H143" s="3">
        <v>2</v>
      </c>
      <c r="J143" s="3">
        <v>2</v>
      </c>
    </row>
    <row r="145" spans="1:10">
      <c r="B145" s="21" t="s">
        <v>60</v>
      </c>
    </row>
    <row r="146" spans="1:10" ht="90" customHeight="1">
      <c r="B146" s="57" t="s">
        <v>872</v>
      </c>
      <c r="C146" s="57"/>
      <c r="D146" s="57"/>
      <c r="E146" s="57"/>
      <c r="F146" s="57"/>
    </row>
    <row r="148" spans="1:10" ht="25.5">
      <c r="A148" s="3" t="s">
        <v>873</v>
      </c>
      <c r="B148" t="s">
        <v>874</v>
      </c>
      <c r="D148" s="14"/>
      <c r="F148" s="14"/>
      <c r="H148" s="3">
        <v>2</v>
      </c>
      <c r="J148" s="3">
        <v>1</v>
      </c>
    </row>
    <row r="150" spans="1:10">
      <c r="B150" s="21" t="s">
        <v>60</v>
      </c>
    </row>
    <row r="151" spans="1:10" ht="60" customHeight="1">
      <c r="B151" s="57" t="s">
        <v>875</v>
      </c>
      <c r="C151" s="57"/>
      <c r="D151" s="57"/>
      <c r="E151" s="57"/>
      <c r="F151" s="57"/>
    </row>
    <row r="153" spans="1:10">
      <c r="A153" s="3" t="s">
        <v>876</v>
      </c>
      <c r="B153" t="s">
        <v>877</v>
      </c>
      <c r="D153" s="14"/>
      <c r="F153" s="14"/>
      <c r="H153" s="3">
        <v>2</v>
      </c>
      <c r="J153" s="3">
        <v>1</v>
      </c>
    </row>
    <row r="155" spans="1:10">
      <c r="B155" s="21" t="s">
        <v>60</v>
      </c>
    </row>
    <row r="156" spans="1:10" ht="90" customHeight="1">
      <c r="B156" s="57" t="s">
        <v>878</v>
      </c>
      <c r="C156" s="57"/>
      <c r="D156" s="57"/>
      <c r="E156" s="57"/>
      <c r="F156" s="57"/>
    </row>
    <row r="158" spans="1:10" ht="25.5">
      <c r="A158" s="3" t="s">
        <v>879</v>
      </c>
      <c r="B158" t="s">
        <v>880</v>
      </c>
      <c r="D158" s="14"/>
      <c r="F158" s="14"/>
      <c r="H158" s="3">
        <v>2</v>
      </c>
      <c r="J158" s="3">
        <v>2</v>
      </c>
    </row>
    <row r="160" spans="1:10">
      <c r="B160" s="21" t="s">
        <v>60</v>
      </c>
    </row>
    <row r="161" spans="1:10" ht="90" customHeight="1">
      <c r="B161" s="57" t="s">
        <v>881</v>
      </c>
      <c r="C161" s="57"/>
      <c r="D161" s="57"/>
      <c r="E161" s="57"/>
      <c r="F161" s="57"/>
    </row>
    <row r="163" spans="1:10" ht="25.5">
      <c r="A163" s="3" t="s">
        <v>882</v>
      </c>
      <c r="B163" t="s">
        <v>883</v>
      </c>
      <c r="D163" s="14"/>
      <c r="F163" s="14"/>
      <c r="H163" s="3">
        <v>3</v>
      </c>
      <c r="J163" s="3">
        <v>3</v>
      </c>
    </row>
    <row r="165" spans="1:10">
      <c r="B165" s="21" t="s">
        <v>60</v>
      </c>
    </row>
    <row r="166" spans="1:10" ht="255" customHeight="1">
      <c r="B166" s="57" t="s">
        <v>884</v>
      </c>
      <c r="C166" s="57"/>
      <c r="D166" s="57"/>
      <c r="E166" s="57"/>
      <c r="F166" s="57"/>
    </row>
    <row r="168" spans="1:10" ht="25.5">
      <c r="A168" s="3" t="s">
        <v>885</v>
      </c>
      <c r="B168" t="s">
        <v>886</v>
      </c>
      <c r="D168" s="14"/>
      <c r="F168" s="14"/>
      <c r="H168" s="3">
        <v>3</v>
      </c>
      <c r="J168" s="3">
        <v>2</v>
      </c>
    </row>
    <row r="170" spans="1:10">
      <c r="B170" s="21" t="s">
        <v>60</v>
      </c>
    </row>
    <row r="171" spans="1:10" ht="105" customHeight="1">
      <c r="B171" s="57" t="s">
        <v>887</v>
      </c>
      <c r="C171" s="57"/>
      <c r="D171" s="57"/>
      <c r="E171" s="57"/>
      <c r="F171" s="57"/>
    </row>
    <row r="172" spans="1:10">
      <c r="F172" s="10" t="s">
        <v>150</v>
      </c>
    </row>
  </sheetData>
  <sheetProtection algorithmName="SHA-1" hashValue="fGh2Hn8gNrPr4qdmo0rH87+EaDQ=" saltValue="agAtmrm3DDgHk8IZN8yaIw==" spinCount="100000" sheet="1" objects="1" scenarios="1"/>
  <mergeCells count="33">
    <mergeCell ref="B21:F21"/>
    <mergeCell ref="B16:F16"/>
    <mergeCell ref="B11:F11"/>
    <mergeCell ref="B51:F51"/>
    <mergeCell ref="B46:F46"/>
    <mergeCell ref="B41:F41"/>
    <mergeCell ref="B36:F36"/>
    <mergeCell ref="B31:F31"/>
    <mergeCell ref="B26:F26"/>
    <mergeCell ref="B56:F56"/>
    <mergeCell ref="B111:F111"/>
    <mergeCell ref="B106:F106"/>
    <mergeCell ref="B101:F101"/>
    <mergeCell ref="B96:F96"/>
    <mergeCell ref="B91:F91"/>
    <mergeCell ref="B86:F86"/>
    <mergeCell ref="B81:F81"/>
    <mergeCell ref="B76:F76"/>
    <mergeCell ref="B71:F71"/>
    <mergeCell ref="B66:F66"/>
    <mergeCell ref="B61:F61"/>
    <mergeCell ref="B116:F116"/>
    <mergeCell ref="B171:F171"/>
    <mergeCell ref="B166:F166"/>
    <mergeCell ref="B161:F161"/>
    <mergeCell ref="B156:F156"/>
    <mergeCell ref="B151:F151"/>
    <mergeCell ref="B146:F146"/>
    <mergeCell ref="B141:F141"/>
    <mergeCell ref="B136:F136"/>
    <mergeCell ref="B131:F131"/>
    <mergeCell ref="B126:F126"/>
    <mergeCell ref="B121:F121"/>
  </mergeCells>
  <dataValidations count="3">
    <dataValidation type="list" allowBlank="1" showInputMessage="1" showErrorMessage="1" sqref="D13 D18 D88 D93 D98 D103 D108 D113 D83 D78 D73 D68 D63 D58 D53 D48 D43 D28 D23" xr:uid="{53A704C9-7A03-AE47-8727-E3F60CA6DFE5}">
      <formula1>Response_MIL23</formula1>
    </dataValidation>
    <dataValidation type="list" allowBlank="1" showInputMessage="1" showErrorMessage="1" sqref="D168 D163 D158 D153 D148 D143 D138 D133 D128 D123 D118" xr:uid="{7AFDF9EE-9BDD-FB4A-90BC-26CF31177BEB}">
      <formula1>AntiPattern</formula1>
    </dataValidation>
    <dataValidation type="list" allowBlank="1" showInputMessage="1" showErrorMessage="1" sqref="D8 D33 D38" xr:uid="{147353CC-DF5F-8A48-83F2-590F592AE2B3}">
      <formula1>Response_MIL1</formula1>
    </dataValidation>
  </dataValidations>
  <hyperlinks>
    <hyperlink ref="A1" location="Home!G14" tooltip="Click here to return Home" display="Home" xr:uid="{786BF59A-63AF-854D-8A8C-3380E25CA267}"/>
    <hyperlink ref="F172" location="SA!D12" tooltip="Go to Top" display="Go to Top" xr:uid="{CC83A82A-BEC1-C04A-9DEF-523F4F1223AE}"/>
  </hyperlinks>
  <pageMargins left="0.7" right="0.7" top="0.75" bottom="0.75" header="0.3" footer="0.3"/>
  <pageSetup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EFF57-F6B5-7049-BA89-AEB4745BAF1B}">
  <sheetPr codeName="Sheet9">
    <tabColor theme="3" tint="0.79998168889431442"/>
    <outlinePr summaryBelow="0"/>
  </sheetPr>
  <dimension ref="A1:J237"/>
  <sheetViews>
    <sheetView zoomScale="120" zoomScaleNormal="120" workbookViewId="0">
      <pane ySplit="6" topLeftCell="A7" activePane="bottomLeft" state="frozen"/>
      <selection pane="bottomLeft" activeCell="A7" sqref="A7"/>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39.75" thickBot="1">
      <c r="B2" s="4" t="s">
        <v>29</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888</v>
      </c>
      <c r="B7" s="8" t="s">
        <v>889</v>
      </c>
      <c r="C7" s="8"/>
      <c r="D7" s="8"/>
      <c r="E7" s="8"/>
      <c r="F7" s="8"/>
      <c r="G7" s="8"/>
      <c r="H7" s="8"/>
      <c r="I7" s="8"/>
      <c r="J7" s="8"/>
    </row>
    <row r="8" spans="1:10" ht="25.5">
      <c r="A8" s="3" t="s">
        <v>890</v>
      </c>
      <c r="B8" t="s">
        <v>891</v>
      </c>
      <c r="D8" s="14"/>
      <c r="F8" s="14"/>
      <c r="H8" s="3">
        <v>1</v>
      </c>
      <c r="J8" s="3">
        <v>1</v>
      </c>
    </row>
    <row r="10" spans="1:10">
      <c r="B10" s="21" t="s">
        <v>60</v>
      </c>
    </row>
    <row r="11" spans="1:10" ht="45" customHeight="1">
      <c r="B11" s="57" t="s">
        <v>892</v>
      </c>
      <c r="C11" s="57"/>
      <c r="D11" s="57"/>
      <c r="E11" s="57"/>
      <c r="F11" s="57"/>
    </row>
    <row r="13" spans="1:10">
      <c r="A13" s="3" t="s">
        <v>893</v>
      </c>
      <c r="B13" t="s">
        <v>894</v>
      </c>
      <c r="D13" s="14"/>
      <c r="F13" s="14"/>
      <c r="H13" s="3">
        <v>1</v>
      </c>
      <c r="J13" s="3">
        <v>1</v>
      </c>
    </row>
    <row r="15" spans="1:10">
      <c r="B15" s="21" t="s">
        <v>60</v>
      </c>
    </row>
    <row r="16" spans="1:10" ht="120" customHeight="1">
      <c r="B16" s="57" t="s">
        <v>895</v>
      </c>
      <c r="C16" s="57"/>
      <c r="D16" s="57"/>
      <c r="E16" s="57"/>
      <c r="F16" s="57"/>
    </row>
    <row r="18" spans="1:10">
      <c r="A18" s="3" t="s">
        <v>896</v>
      </c>
      <c r="B18" t="s">
        <v>897</v>
      </c>
      <c r="D18" s="14"/>
      <c r="F18" s="14"/>
      <c r="H18" s="3">
        <v>1</v>
      </c>
      <c r="J18" s="3">
        <v>1</v>
      </c>
    </row>
    <row r="20" spans="1:10">
      <c r="B20" s="21" t="s">
        <v>60</v>
      </c>
    </row>
    <row r="21" spans="1:10" ht="30" customHeight="1">
      <c r="B21" s="57" t="s">
        <v>898</v>
      </c>
      <c r="C21" s="57"/>
      <c r="D21" s="57"/>
      <c r="E21" s="57"/>
      <c r="F21" s="57"/>
    </row>
    <row r="23" spans="1:10" ht="25.5">
      <c r="A23" s="3" t="s">
        <v>899</v>
      </c>
      <c r="B23" t="s">
        <v>900</v>
      </c>
      <c r="D23" s="14"/>
      <c r="F23" s="14"/>
      <c r="H23" s="3">
        <v>2</v>
      </c>
      <c r="J23" s="3">
        <v>1</v>
      </c>
    </row>
    <row r="25" spans="1:10">
      <c r="B25" s="21" t="s">
        <v>60</v>
      </c>
    </row>
    <row r="26" spans="1:10" ht="225" customHeight="1">
      <c r="B26" s="57" t="s">
        <v>901</v>
      </c>
      <c r="C26" s="57"/>
      <c r="D26" s="57"/>
      <c r="E26" s="57"/>
      <c r="F26" s="57"/>
    </row>
    <row r="28" spans="1:10" ht="25.5">
      <c r="A28" s="3" t="s">
        <v>902</v>
      </c>
      <c r="B28" t="s">
        <v>903</v>
      </c>
      <c r="D28" s="14"/>
      <c r="F28" s="14"/>
      <c r="H28" s="3">
        <v>2</v>
      </c>
      <c r="J28" s="3">
        <v>1</v>
      </c>
    </row>
    <row r="30" spans="1:10">
      <c r="B30" s="21" t="s">
        <v>60</v>
      </c>
    </row>
    <row r="31" spans="1:10" ht="105" customHeight="1">
      <c r="B31" s="57" t="s">
        <v>904</v>
      </c>
      <c r="C31" s="57"/>
      <c r="D31" s="57"/>
      <c r="E31" s="57"/>
      <c r="F31" s="57"/>
    </row>
    <row r="33" spans="1:10" ht="25.5">
      <c r="A33" s="3" t="s">
        <v>905</v>
      </c>
      <c r="B33" t="s">
        <v>906</v>
      </c>
      <c r="D33" s="14"/>
      <c r="F33" s="14"/>
      <c r="H33" s="3">
        <v>3</v>
      </c>
      <c r="J33" s="3">
        <v>3</v>
      </c>
    </row>
    <row r="35" spans="1:10">
      <c r="B35" s="21" t="s">
        <v>60</v>
      </c>
    </row>
    <row r="36" spans="1:10" ht="105" customHeight="1">
      <c r="B36" s="57" t="s">
        <v>907</v>
      </c>
      <c r="C36" s="57"/>
      <c r="D36" s="57"/>
      <c r="E36" s="57"/>
      <c r="F36" s="57"/>
    </row>
    <row r="38" spans="1:10" ht="38.25">
      <c r="A38" s="3" t="s">
        <v>908</v>
      </c>
      <c r="B38" t="s">
        <v>909</v>
      </c>
      <c r="D38" s="14"/>
      <c r="F38" s="14"/>
      <c r="H38" s="3">
        <v>3</v>
      </c>
      <c r="J38" s="3">
        <v>3</v>
      </c>
    </row>
    <row r="40" spans="1:10">
      <c r="B40" s="21" t="s">
        <v>60</v>
      </c>
    </row>
    <row r="41" spans="1:10" ht="135" customHeight="1">
      <c r="B41" s="57" t="s">
        <v>910</v>
      </c>
      <c r="C41" s="57"/>
      <c r="D41" s="57"/>
      <c r="E41" s="57"/>
      <c r="F41" s="57"/>
    </row>
    <row r="43" spans="1:10" ht="25.5">
      <c r="A43" s="3" t="s">
        <v>911</v>
      </c>
      <c r="B43" t="s">
        <v>912</v>
      </c>
      <c r="D43" s="14"/>
      <c r="F43" s="14"/>
      <c r="H43" s="3">
        <v>3</v>
      </c>
      <c r="J43" s="3">
        <v>3</v>
      </c>
    </row>
    <row r="45" spans="1:10">
      <c r="B45" s="21" t="s">
        <v>60</v>
      </c>
    </row>
    <row r="46" spans="1:10" ht="120" customHeight="1">
      <c r="B46" s="57" t="s">
        <v>913</v>
      </c>
      <c r="C46" s="57"/>
      <c r="D46" s="57"/>
      <c r="E46" s="57"/>
      <c r="F46" s="57"/>
    </row>
    <row r="47" spans="1:10">
      <c r="A47" s="9" t="s">
        <v>914</v>
      </c>
      <c r="B47" s="8" t="s">
        <v>915</v>
      </c>
      <c r="C47" s="8"/>
      <c r="D47" s="8"/>
      <c r="E47" s="8"/>
      <c r="F47" s="8"/>
      <c r="G47" s="8"/>
      <c r="H47" s="8"/>
      <c r="I47" s="8"/>
      <c r="J47" s="8"/>
    </row>
    <row r="48" spans="1:10" ht="25.5">
      <c r="A48" s="3" t="s">
        <v>916</v>
      </c>
      <c r="B48" t="s">
        <v>917</v>
      </c>
      <c r="D48" s="14"/>
      <c r="F48" s="14"/>
      <c r="H48" s="3">
        <v>1</v>
      </c>
      <c r="J48" s="3">
        <v>1</v>
      </c>
    </row>
    <row r="50" spans="1:10">
      <c r="B50" s="21" t="s">
        <v>60</v>
      </c>
    </row>
    <row r="51" spans="1:10" ht="90" customHeight="1">
      <c r="B51" s="57" t="s">
        <v>918</v>
      </c>
      <c r="C51" s="57"/>
      <c r="D51" s="57"/>
      <c r="E51" s="57"/>
      <c r="F51" s="57"/>
    </row>
    <row r="53" spans="1:10" ht="25.5">
      <c r="A53" s="3" t="s">
        <v>919</v>
      </c>
      <c r="B53" t="s">
        <v>920</v>
      </c>
      <c r="D53" s="14"/>
      <c r="F53" s="14"/>
      <c r="H53" s="3">
        <v>1</v>
      </c>
      <c r="J53" s="3">
        <v>1</v>
      </c>
    </row>
    <row r="55" spans="1:10">
      <c r="B55" s="21" t="s">
        <v>60</v>
      </c>
    </row>
    <row r="56" spans="1:10" ht="45" customHeight="1">
      <c r="B56" s="57" t="s">
        <v>921</v>
      </c>
      <c r="C56" s="57"/>
      <c r="D56" s="57"/>
      <c r="E56" s="57"/>
      <c r="F56" s="57"/>
    </row>
    <row r="58" spans="1:10" ht="25.5">
      <c r="A58" s="3" t="s">
        <v>922</v>
      </c>
      <c r="B58" t="s">
        <v>923</v>
      </c>
      <c r="D58" s="14"/>
      <c r="F58" s="14"/>
      <c r="H58" s="3">
        <v>1</v>
      </c>
      <c r="J58" s="3">
        <v>1</v>
      </c>
    </row>
    <row r="60" spans="1:10">
      <c r="B60" s="21" t="s">
        <v>60</v>
      </c>
    </row>
    <row r="61" spans="1:10" ht="30" customHeight="1">
      <c r="B61" s="57" t="s">
        <v>924</v>
      </c>
      <c r="C61" s="57"/>
      <c r="D61" s="57"/>
      <c r="E61" s="57"/>
      <c r="F61" s="57"/>
    </row>
    <row r="63" spans="1:10" ht="25.5">
      <c r="A63" s="3" t="s">
        <v>925</v>
      </c>
      <c r="B63" t="s">
        <v>926</v>
      </c>
      <c r="D63" s="14"/>
      <c r="F63" s="14"/>
      <c r="H63" s="3">
        <v>2</v>
      </c>
      <c r="J63" s="3">
        <v>2</v>
      </c>
    </row>
    <row r="65" spans="1:10">
      <c r="B65" s="21" t="s">
        <v>60</v>
      </c>
    </row>
    <row r="66" spans="1:10" ht="105" customHeight="1">
      <c r="B66" s="57" t="s">
        <v>927</v>
      </c>
      <c r="C66" s="57"/>
      <c r="D66" s="57"/>
      <c r="E66" s="57"/>
      <c r="F66" s="57"/>
    </row>
    <row r="68" spans="1:10" ht="25.5">
      <c r="A68" s="3" t="s">
        <v>928</v>
      </c>
      <c r="B68" t="s">
        <v>929</v>
      </c>
      <c r="D68" s="14"/>
      <c r="F68" s="14"/>
      <c r="H68" s="3">
        <v>2</v>
      </c>
      <c r="J68" s="3">
        <v>2</v>
      </c>
    </row>
    <row r="70" spans="1:10">
      <c r="B70" s="21" t="s">
        <v>60</v>
      </c>
    </row>
    <row r="71" spans="1:10" ht="30" customHeight="1">
      <c r="B71" s="57" t="s">
        <v>930</v>
      </c>
      <c r="C71" s="57"/>
      <c r="D71" s="57"/>
      <c r="E71" s="57"/>
      <c r="F71" s="57"/>
    </row>
    <row r="73" spans="1:10" ht="25.5">
      <c r="A73" s="3" t="s">
        <v>931</v>
      </c>
      <c r="B73" t="s">
        <v>932</v>
      </c>
      <c r="D73" s="14"/>
      <c r="F73" s="14"/>
      <c r="H73" s="3">
        <v>2</v>
      </c>
      <c r="J73" s="3">
        <v>2</v>
      </c>
    </row>
    <row r="75" spans="1:10">
      <c r="B75" s="21" t="s">
        <v>60</v>
      </c>
    </row>
    <row r="76" spans="1:10" ht="75" customHeight="1">
      <c r="B76" s="57" t="s">
        <v>933</v>
      </c>
      <c r="C76" s="57"/>
      <c r="D76" s="57"/>
      <c r="E76" s="57"/>
      <c r="F76" s="57"/>
    </row>
    <row r="78" spans="1:10" ht="38.25">
      <c r="A78" s="3" t="s">
        <v>934</v>
      </c>
      <c r="B78" t="s">
        <v>935</v>
      </c>
      <c r="D78" s="14"/>
      <c r="F78" s="14"/>
      <c r="H78" s="3">
        <v>3</v>
      </c>
      <c r="J78" s="3">
        <v>3</v>
      </c>
    </row>
    <row r="80" spans="1:10">
      <c r="B80" s="21" t="s">
        <v>60</v>
      </c>
    </row>
    <row r="81" spans="1:10" ht="45" customHeight="1">
      <c r="B81" s="57" t="s">
        <v>936</v>
      </c>
      <c r="C81" s="57"/>
      <c r="D81" s="57"/>
      <c r="E81" s="57"/>
      <c r="F81" s="57"/>
    </row>
    <row r="83" spans="1:10" ht="25.5">
      <c r="A83" s="3" t="s">
        <v>937</v>
      </c>
      <c r="B83" t="s">
        <v>938</v>
      </c>
      <c r="D83" s="14"/>
      <c r="F83" s="14"/>
      <c r="H83" s="3">
        <v>3</v>
      </c>
      <c r="J83" s="3">
        <v>3</v>
      </c>
    </row>
    <row r="85" spans="1:10">
      <c r="B85" s="21" t="s">
        <v>60</v>
      </c>
    </row>
    <row r="86" spans="1:10" ht="75" customHeight="1">
      <c r="B86" s="57" t="s">
        <v>939</v>
      </c>
      <c r="C86" s="57"/>
      <c r="D86" s="57"/>
      <c r="E86" s="57"/>
      <c r="F86" s="57"/>
    </row>
    <row r="88" spans="1:10" ht="25.5">
      <c r="A88" s="3" t="s">
        <v>940</v>
      </c>
      <c r="B88" t="s">
        <v>941</v>
      </c>
      <c r="D88" s="14"/>
      <c r="F88" s="14"/>
      <c r="H88" s="3">
        <v>3</v>
      </c>
      <c r="J88" s="3">
        <v>3</v>
      </c>
    </row>
    <row r="90" spans="1:10">
      <c r="B90" s="21" t="s">
        <v>60</v>
      </c>
    </row>
    <row r="91" spans="1:10" ht="60" customHeight="1">
      <c r="B91" s="57" t="s">
        <v>942</v>
      </c>
      <c r="C91" s="57"/>
      <c r="D91" s="57"/>
      <c r="E91" s="57"/>
      <c r="F91" s="57"/>
    </row>
    <row r="92" spans="1:10">
      <c r="A92" s="9" t="s">
        <v>943</v>
      </c>
      <c r="B92" s="8" t="s">
        <v>944</v>
      </c>
      <c r="C92" s="8"/>
      <c r="D92" s="8"/>
      <c r="E92" s="8"/>
      <c r="F92" s="8"/>
      <c r="G92" s="8"/>
      <c r="H92" s="8"/>
      <c r="I92" s="8"/>
      <c r="J92" s="8"/>
    </row>
    <row r="93" spans="1:10" ht="25.5">
      <c r="A93" s="3" t="s">
        <v>945</v>
      </c>
      <c r="B93" t="s">
        <v>946</v>
      </c>
      <c r="D93" s="14"/>
      <c r="F93" s="14"/>
      <c r="H93" s="3">
        <v>1</v>
      </c>
      <c r="J93" s="3">
        <v>1</v>
      </c>
    </row>
    <row r="95" spans="1:10">
      <c r="B95" s="21" t="s">
        <v>60</v>
      </c>
    </row>
    <row r="96" spans="1:10" ht="30" customHeight="1">
      <c r="B96" s="57" t="s">
        <v>947</v>
      </c>
      <c r="C96" s="57"/>
      <c r="D96" s="57"/>
      <c r="E96" s="57"/>
      <c r="F96" s="57"/>
    </row>
    <row r="98" spans="1:10" ht="25.5">
      <c r="A98" s="3" t="s">
        <v>948</v>
      </c>
      <c r="B98" t="s">
        <v>949</v>
      </c>
      <c r="D98" s="14"/>
      <c r="F98" s="14"/>
      <c r="H98" s="3">
        <v>1</v>
      </c>
      <c r="J98" s="3">
        <v>1</v>
      </c>
    </row>
    <row r="100" spans="1:10">
      <c r="B100" s="21" t="s">
        <v>60</v>
      </c>
    </row>
    <row r="101" spans="1:10" ht="90" customHeight="1">
      <c r="B101" s="57" t="s">
        <v>950</v>
      </c>
      <c r="C101" s="57"/>
      <c r="D101" s="57"/>
      <c r="E101" s="57"/>
      <c r="F101" s="57"/>
    </row>
    <row r="102" spans="1:10">
      <c r="B102" s="7"/>
    </row>
    <row r="103" spans="1:10" ht="25.5">
      <c r="A103" s="3" t="s">
        <v>951</v>
      </c>
      <c r="B103" t="s">
        <v>952</v>
      </c>
      <c r="D103" s="14"/>
      <c r="F103" s="14"/>
      <c r="H103" s="3">
        <v>1</v>
      </c>
      <c r="J103" s="3">
        <v>1</v>
      </c>
    </row>
    <row r="105" spans="1:10">
      <c r="B105" s="21" t="s">
        <v>60</v>
      </c>
    </row>
    <row r="106" spans="1:10" ht="60" customHeight="1">
      <c r="B106" s="57" t="s">
        <v>953</v>
      </c>
      <c r="C106" s="57"/>
      <c r="D106" s="57"/>
      <c r="E106" s="57"/>
      <c r="F106" s="57"/>
    </row>
    <row r="108" spans="1:10" ht="38.25">
      <c r="A108" s="3" t="s">
        <v>954</v>
      </c>
      <c r="B108" t="s">
        <v>955</v>
      </c>
      <c r="D108" s="14"/>
      <c r="F108" s="14"/>
      <c r="H108" s="3">
        <v>2</v>
      </c>
      <c r="J108" s="3">
        <v>2</v>
      </c>
    </row>
    <row r="110" spans="1:10">
      <c r="B110" s="21" t="s">
        <v>60</v>
      </c>
    </row>
    <row r="111" spans="1:10" ht="90" customHeight="1">
      <c r="B111" s="57" t="s">
        <v>956</v>
      </c>
      <c r="C111" s="57"/>
      <c r="D111" s="57"/>
      <c r="E111" s="57"/>
      <c r="F111" s="57"/>
    </row>
    <row r="112" spans="1:10">
      <c r="B112" s="7"/>
    </row>
    <row r="113" spans="1:10" ht="25.5">
      <c r="A113" s="3" t="s">
        <v>957</v>
      </c>
      <c r="B113" t="s">
        <v>958</v>
      </c>
      <c r="D113" s="14"/>
      <c r="F113" s="14"/>
      <c r="H113" s="3">
        <v>2</v>
      </c>
      <c r="J113" s="3">
        <v>1</v>
      </c>
    </row>
    <row r="115" spans="1:10">
      <c r="B115" s="21" t="s">
        <v>60</v>
      </c>
    </row>
    <row r="116" spans="1:10" ht="60" customHeight="1">
      <c r="B116" s="57" t="s">
        <v>959</v>
      </c>
      <c r="C116" s="57"/>
      <c r="D116" s="57"/>
      <c r="E116" s="57"/>
      <c r="F116" s="57"/>
    </row>
    <row r="118" spans="1:10" ht="25.5">
      <c r="A118" s="3" t="s">
        <v>960</v>
      </c>
      <c r="B118" t="s">
        <v>961</v>
      </c>
      <c r="D118" s="14"/>
      <c r="F118" s="14"/>
      <c r="H118" s="3">
        <v>2</v>
      </c>
      <c r="J118" s="3">
        <v>2</v>
      </c>
    </row>
    <row r="120" spans="1:10">
      <c r="B120" s="21" t="s">
        <v>60</v>
      </c>
    </row>
    <row r="121" spans="1:10" ht="30" customHeight="1">
      <c r="B121" s="57" t="s">
        <v>962</v>
      </c>
      <c r="C121" s="57"/>
      <c r="D121" s="57"/>
      <c r="E121" s="57"/>
      <c r="F121" s="57"/>
    </row>
    <row r="122" spans="1:10">
      <c r="B122" s="7"/>
    </row>
    <row r="123" spans="1:10">
      <c r="A123" s="3" t="s">
        <v>963</v>
      </c>
      <c r="B123" t="s">
        <v>964</v>
      </c>
      <c r="D123" s="14"/>
      <c r="F123" s="14"/>
      <c r="H123" s="3">
        <v>2</v>
      </c>
      <c r="J123" s="3">
        <v>2</v>
      </c>
    </row>
    <row r="125" spans="1:10">
      <c r="B125" s="21" t="s">
        <v>60</v>
      </c>
    </row>
    <row r="126" spans="1:10" ht="105" customHeight="1">
      <c r="B126" s="57" t="s">
        <v>965</v>
      </c>
      <c r="C126" s="57"/>
      <c r="D126" s="57"/>
      <c r="E126" s="57"/>
      <c r="F126" s="57"/>
    </row>
    <row r="128" spans="1:10" ht="25.5">
      <c r="A128" s="3" t="s">
        <v>966</v>
      </c>
      <c r="B128" t="s">
        <v>967</v>
      </c>
      <c r="D128" s="14"/>
      <c r="F128" s="14"/>
      <c r="H128" s="3">
        <v>3</v>
      </c>
      <c r="J128" s="3">
        <v>3</v>
      </c>
    </row>
    <row r="130" spans="1:10">
      <c r="B130" s="21" t="s">
        <v>60</v>
      </c>
    </row>
    <row r="131" spans="1:10" ht="45" customHeight="1">
      <c r="B131" s="57" t="s">
        <v>968</v>
      </c>
      <c r="C131" s="57"/>
      <c r="D131" s="57"/>
      <c r="E131" s="57"/>
      <c r="F131" s="57"/>
    </row>
    <row r="133" spans="1:10" ht="38.25">
      <c r="A133" s="3" t="s">
        <v>969</v>
      </c>
      <c r="B133" t="s">
        <v>970</v>
      </c>
      <c r="D133" s="14"/>
      <c r="F133" s="14"/>
      <c r="H133" s="3">
        <v>3</v>
      </c>
      <c r="J133" s="3">
        <v>3</v>
      </c>
    </row>
    <row r="135" spans="1:10">
      <c r="B135" s="21" t="s">
        <v>60</v>
      </c>
    </row>
    <row r="136" spans="1:10" ht="45" customHeight="1">
      <c r="B136" s="57" t="s">
        <v>971</v>
      </c>
      <c r="C136" s="57"/>
      <c r="D136" s="57"/>
      <c r="E136" s="57"/>
      <c r="F136" s="57"/>
    </row>
    <row r="138" spans="1:10" ht="25.5">
      <c r="A138" s="3" t="s">
        <v>972</v>
      </c>
      <c r="B138" t="s">
        <v>973</v>
      </c>
      <c r="D138" s="14"/>
      <c r="F138" s="14"/>
      <c r="H138" s="3">
        <v>3</v>
      </c>
      <c r="J138" s="3">
        <v>2</v>
      </c>
    </row>
    <row r="140" spans="1:10">
      <c r="B140" s="21" t="s">
        <v>60</v>
      </c>
    </row>
    <row r="141" spans="1:10" ht="45" customHeight="1">
      <c r="B141" s="57" t="s">
        <v>974</v>
      </c>
      <c r="C141" s="57"/>
      <c r="D141" s="57"/>
      <c r="E141" s="57"/>
      <c r="F141" s="57"/>
    </row>
    <row r="143" spans="1:10" ht="25.5">
      <c r="A143" s="3" t="s">
        <v>975</v>
      </c>
      <c r="B143" t="s">
        <v>976</v>
      </c>
      <c r="D143" s="14"/>
      <c r="F143" s="14"/>
      <c r="H143" s="3">
        <v>3</v>
      </c>
      <c r="J143" s="3">
        <v>2</v>
      </c>
    </row>
    <row r="145" spans="1:10">
      <c r="B145" s="21" t="s">
        <v>60</v>
      </c>
    </row>
    <row r="146" spans="1:10" ht="30" customHeight="1">
      <c r="B146" s="57" t="s">
        <v>977</v>
      </c>
      <c r="C146" s="57"/>
      <c r="D146" s="57"/>
      <c r="E146" s="57"/>
      <c r="F146" s="57"/>
    </row>
    <row r="148" spans="1:10" ht="25.5">
      <c r="A148" s="3" t="s">
        <v>978</v>
      </c>
      <c r="B148" t="s">
        <v>979</v>
      </c>
      <c r="D148" s="14"/>
      <c r="F148" s="14"/>
      <c r="H148" s="3">
        <v>3</v>
      </c>
      <c r="J148" s="3">
        <v>3</v>
      </c>
    </row>
    <row r="150" spans="1:10">
      <c r="B150" s="21" t="s">
        <v>60</v>
      </c>
    </row>
    <row r="151" spans="1:10" ht="45" customHeight="1">
      <c r="B151" s="57" t="s">
        <v>980</v>
      </c>
      <c r="C151" s="57"/>
      <c r="D151" s="57"/>
      <c r="E151" s="57"/>
      <c r="F151" s="57"/>
    </row>
    <row r="153" spans="1:10" ht="25.5">
      <c r="A153" s="3" t="s">
        <v>981</v>
      </c>
      <c r="B153" t="s">
        <v>982</v>
      </c>
      <c r="D153" s="14"/>
      <c r="F153" s="14"/>
      <c r="H153" s="3">
        <v>3</v>
      </c>
      <c r="J153" s="3">
        <v>3</v>
      </c>
    </row>
    <row r="155" spans="1:10">
      <c r="B155" s="21" t="s">
        <v>60</v>
      </c>
    </row>
    <row r="156" spans="1:10" ht="75" customHeight="1">
      <c r="B156" s="57" t="s">
        <v>983</v>
      </c>
      <c r="C156" s="57"/>
      <c r="D156" s="57"/>
      <c r="E156" s="57"/>
      <c r="F156" s="57"/>
    </row>
    <row r="158" spans="1:10" ht="38.25">
      <c r="A158" s="3" t="s">
        <v>984</v>
      </c>
      <c r="B158" t="s">
        <v>985</v>
      </c>
      <c r="D158" s="14"/>
      <c r="F158" s="14"/>
      <c r="H158" s="3">
        <v>3</v>
      </c>
      <c r="J158" s="3">
        <v>3</v>
      </c>
    </row>
    <row r="160" spans="1:10">
      <c r="B160" s="21" t="s">
        <v>60</v>
      </c>
    </row>
    <row r="161" spans="1:10" ht="75" customHeight="1">
      <c r="B161" s="57" t="s">
        <v>986</v>
      </c>
      <c r="C161" s="57"/>
      <c r="D161" s="57"/>
      <c r="E161" s="57"/>
      <c r="F161" s="57"/>
    </row>
    <row r="163" spans="1:10" ht="25.5">
      <c r="A163" s="3" t="s">
        <v>987</v>
      </c>
      <c r="B163" t="s">
        <v>988</v>
      </c>
      <c r="D163" s="14"/>
      <c r="F163" s="14"/>
      <c r="H163" s="3">
        <v>3</v>
      </c>
      <c r="J163" s="3">
        <v>2</v>
      </c>
    </row>
    <row r="165" spans="1:10">
      <c r="B165" s="21" t="s">
        <v>60</v>
      </c>
    </row>
    <row r="166" spans="1:10" ht="45" customHeight="1">
      <c r="B166" s="57" t="s">
        <v>989</v>
      </c>
      <c r="C166" s="57"/>
      <c r="D166" s="57"/>
      <c r="E166" s="57"/>
      <c r="F166" s="57"/>
    </row>
    <row r="167" spans="1:10">
      <c r="A167" s="9" t="s">
        <v>990</v>
      </c>
      <c r="B167" s="8" t="s">
        <v>991</v>
      </c>
      <c r="C167" s="8"/>
      <c r="D167" s="8"/>
      <c r="E167" s="8"/>
      <c r="F167" s="8"/>
      <c r="G167" s="8"/>
      <c r="H167" s="8"/>
      <c r="I167" s="8"/>
      <c r="J167" s="8"/>
    </row>
    <row r="168" spans="1:10" ht="25.5">
      <c r="A168" s="3" t="s">
        <v>992</v>
      </c>
      <c r="B168" t="s">
        <v>993</v>
      </c>
      <c r="D168" s="14"/>
      <c r="F168" s="14"/>
      <c r="H168" s="3">
        <v>1</v>
      </c>
      <c r="J168" s="3">
        <v>1</v>
      </c>
    </row>
    <row r="170" spans="1:10">
      <c r="B170" s="21" t="s">
        <v>60</v>
      </c>
    </row>
    <row r="171" spans="1:10" ht="30" customHeight="1">
      <c r="B171" s="57" t="s">
        <v>994</v>
      </c>
      <c r="C171" s="57"/>
      <c r="D171" s="57"/>
      <c r="E171" s="57"/>
      <c r="F171" s="57"/>
    </row>
    <row r="173" spans="1:10" ht="25.5">
      <c r="A173" s="3" t="s">
        <v>995</v>
      </c>
      <c r="B173" t="s">
        <v>996</v>
      </c>
      <c r="D173" s="14"/>
      <c r="F173" s="14"/>
      <c r="H173" s="3">
        <v>1</v>
      </c>
      <c r="J173" s="3">
        <v>1</v>
      </c>
    </row>
    <row r="175" spans="1:10">
      <c r="B175" s="21" t="s">
        <v>60</v>
      </c>
    </row>
    <row r="176" spans="1:10" ht="45" customHeight="1">
      <c r="B176" s="57" t="s">
        <v>997</v>
      </c>
      <c r="C176" s="57"/>
      <c r="D176" s="57"/>
      <c r="E176" s="57"/>
      <c r="F176" s="57"/>
    </row>
    <row r="178" spans="1:10" ht="25.5">
      <c r="A178" s="3" t="s">
        <v>998</v>
      </c>
      <c r="B178" t="s">
        <v>999</v>
      </c>
      <c r="D178" s="14"/>
      <c r="F178" s="14"/>
      <c r="H178" s="3">
        <v>1</v>
      </c>
      <c r="J178" s="3">
        <v>1</v>
      </c>
    </row>
    <row r="180" spans="1:10">
      <c r="B180" s="21" t="s">
        <v>60</v>
      </c>
    </row>
    <row r="181" spans="1:10" ht="45" customHeight="1">
      <c r="B181" s="57" t="s">
        <v>1000</v>
      </c>
      <c r="C181" s="57"/>
      <c r="D181" s="57"/>
      <c r="E181" s="57"/>
      <c r="F181" s="57"/>
    </row>
    <row r="183" spans="1:10">
      <c r="A183" s="3" t="s">
        <v>1001</v>
      </c>
      <c r="B183" t="s">
        <v>1002</v>
      </c>
      <c r="D183" s="14"/>
      <c r="F183" s="14"/>
      <c r="H183" s="3">
        <v>2</v>
      </c>
      <c r="J183" s="3">
        <v>2</v>
      </c>
    </row>
    <row r="185" spans="1:10">
      <c r="B185" s="21" t="s">
        <v>60</v>
      </c>
    </row>
    <row r="186" spans="1:10" ht="120" customHeight="1">
      <c r="B186" s="57" t="s">
        <v>1003</v>
      </c>
      <c r="C186" s="57"/>
      <c r="D186" s="57"/>
      <c r="E186" s="57"/>
      <c r="F186" s="57"/>
    </row>
    <row r="188" spans="1:10" ht="25.5">
      <c r="A188" s="3" t="s">
        <v>1004</v>
      </c>
      <c r="B188" t="s">
        <v>1005</v>
      </c>
      <c r="D188" s="14"/>
      <c r="F188" s="14"/>
      <c r="H188" s="3">
        <v>2</v>
      </c>
      <c r="J188" s="3">
        <v>2</v>
      </c>
    </row>
    <row r="190" spans="1:10">
      <c r="B190" s="21" t="s">
        <v>60</v>
      </c>
    </row>
    <row r="191" spans="1:10" ht="45" customHeight="1">
      <c r="B191" s="57" t="s">
        <v>1006</v>
      </c>
      <c r="C191" s="57"/>
      <c r="D191" s="57"/>
      <c r="E191" s="57"/>
      <c r="F191" s="57"/>
    </row>
    <row r="193" spans="1:10">
      <c r="A193" s="3" t="s">
        <v>1007</v>
      </c>
      <c r="B193" t="s">
        <v>1008</v>
      </c>
      <c r="D193" s="14"/>
      <c r="F193" s="14"/>
      <c r="H193" s="3">
        <v>2</v>
      </c>
      <c r="J193" s="3">
        <v>2</v>
      </c>
    </row>
    <row r="195" spans="1:10">
      <c r="B195" s="21" t="s">
        <v>60</v>
      </c>
    </row>
    <row r="196" spans="1:10" ht="120" customHeight="1">
      <c r="B196" s="57" t="s">
        <v>1009</v>
      </c>
      <c r="C196" s="57"/>
      <c r="D196" s="57"/>
      <c r="E196" s="57"/>
      <c r="F196" s="57"/>
    </row>
    <row r="198" spans="1:10">
      <c r="A198" s="3" t="s">
        <v>1010</v>
      </c>
      <c r="B198" t="s">
        <v>1011</v>
      </c>
      <c r="D198" s="14"/>
      <c r="F198" s="14"/>
      <c r="H198" s="3">
        <v>3</v>
      </c>
      <c r="J198" s="3">
        <v>3</v>
      </c>
    </row>
    <row r="200" spans="1:10">
      <c r="B200" s="21" t="s">
        <v>60</v>
      </c>
    </row>
    <row r="201" spans="1:10" ht="45" customHeight="1">
      <c r="B201" s="57" t="s">
        <v>1012</v>
      </c>
      <c r="C201" s="57"/>
      <c r="D201" s="57"/>
      <c r="E201" s="57"/>
      <c r="F201" s="57"/>
    </row>
    <row r="203" spans="1:10" ht="25.5">
      <c r="A203" s="3" t="s">
        <v>1013</v>
      </c>
      <c r="B203" t="s">
        <v>1014</v>
      </c>
      <c r="D203" s="14"/>
      <c r="F203" s="14"/>
      <c r="H203" s="3">
        <v>3</v>
      </c>
      <c r="J203" s="3">
        <v>3</v>
      </c>
    </row>
    <row r="205" spans="1:10">
      <c r="B205" s="21" t="s">
        <v>60</v>
      </c>
    </row>
    <row r="206" spans="1:10" ht="30" customHeight="1">
      <c r="B206" s="57" t="s">
        <v>1015</v>
      </c>
      <c r="C206" s="57"/>
      <c r="D206" s="57"/>
      <c r="E206" s="57"/>
      <c r="F206" s="57"/>
    </row>
    <row r="208" spans="1:10" ht="25.5">
      <c r="A208" s="3" t="s">
        <v>1016</v>
      </c>
      <c r="B208" t="s">
        <v>1017</v>
      </c>
      <c r="D208" s="14"/>
      <c r="F208" s="14"/>
      <c r="H208" s="3">
        <v>3</v>
      </c>
      <c r="J208" s="3">
        <v>3</v>
      </c>
    </row>
    <row r="210" spans="1:10">
      <c r="B210" s="21" t="s">
        <v>60</v>
      </c>
    </row>
    <row r="211" spans="1:10" ht="60" customHeight="1">
      <c r="B211" s="57" t="s">
        <v>1018</v>
      </c>
      <c r="C211" s="57"/>
      <c r="D211" s="57"/>
      <c r="E211" s="57"/>
      <c r="F211" s="57"/>
    </row>
    <row r="213" spans="1:10">
      <c r="A213" s="3" t="s">
        <v>1019</v>
      </c>
      <c r="B213" t="s">
        <v>1020</v>
      </c>
      <c r="D213" s="14"/>
      <c r="F213" s="14"/>
      <c r="H213" s="3">
        <v>3</v>
      </c>
      <c r="J213" s="3">
        <v>1</v>
      </c>
    </row>
    <row r="215" spans="1:10">
      <c r="B215" s="21" t="s">
        <v>60</v>
      </c>
    </row>
    <row r="216" spans="1:10" ht="45" customHeight="1">
      <c r="B216" s="57" t="s">
        <v>1021</v>
      </c>
      <c r="C216" s="57"/>
      <c r="D216" s="57"/>
      <c r="E216" s="57"/>
      <c r="F216" s="57"/>
    </row>
    <row r="218" spans="1:10" ht="25.5">
      <c r="A218" s="3" t="s">
        <v>1022</v>
      </c>
      <c r="B218" t="s">
        <v>1023</v>
      </c>
      <c r="D218" s="14"/>
      <c r="F218" s="14"/>
      <c r="H218" s="3">
        <v>3</v>
      </c>
      <c r="J218" s="3">
        <v>3</v>
      </c>
    </row>
    <row r="220" spans="1:10">
      <c r="B220" s="21" t="s">
        <v>60</v>
      </c>
    </row>
    <row r="221" spans="1:10" ht="60" customHeight="1">
      <c r="B221" s="57" t="s">
        <v>1024</v>
      </c>
      <c r="C221" s="57"/>
      <c r="D221" s="57"/>
      <c r="E221" s="57"/>
      <c r="F221" s="57"/>
    </row>
    <row r="222" spans="1:10">
      <c r="A222" s="9" t="s">
        <v>1025</v>
      </c>
      <c r="B222" s="8" t="s">
        <v>1026</v>
      </c>
      <c r="C222" s="8"/>
      <c r="D222" s="8"/>
      <c r="E222" s="8"/>
      <c r="F222" s="8"/>
      <c r="G222" s="8"/>
      <c r="H222" s="8"/>
      <c r="I222" s="8"/>
      <c r="J222" s="8"/>
    </row>
    <row r="223" spans="1:10">
      <c r="A223" s="3" t="s">
        <v>1027</v>
      </c>
      <c r="B223" t="s">
        <v>1028</v>
      </c>
      <c r="D223" s="14"/>
      <c r="F223" s="14"/>
      <c r="H223" s="3">
        <v>2</v>
      </c>
      <c r="J223" s="3">
        <v>1</v>
      </c>
    </row>
    <row r="225" spans="1:10">
      <c r="B225" s="21" t="s">
        <v>60</v>
      </c>
    </row>
    <row r="226" spans="1:10" ht="210" customHeight="1">
      <c r="B226" s="57" t="s">
        <v>1029</v>
      </c>
      <c r="C226" s="57"/>
      <c r="D226" s="57"/>
      <c r="E226" s="57"/>
      <c r="F226" s="57"/>
    </row>
    <row r="228" spans="1:10" ht="25.5">
      <c r="A228" s="3" t="s">
        <v>1030</v>
      </c>
      <c r="B228" t="s">
        <v>1031</v>
      </c>
      <c r="D228" s="14"/>
      <c r="F228" s="14"/>
      <c r="H228" s="3">
        <v>2</v>
      </c>
      <c r="J228" s="3">
        <v>1</v>
      </c>
    </row>
    <row r="230" spans="1:10">
      <c r="B230" s="21" t="s">
        <v>60</v>
      </c>
    </row>
    <row r="231" spans="1:10" ht="355.9" customHeight="1">
      <c r="B231" s="57" t="s">
        <v>1032</v>
      </c>
      <c r="C231" s="57"/>
      <c r="D231" s="57"/>
      <c r="E231" s="57"/>
      <c r="F231" s="57"/>
    </row>
    <row r="233" spans="1:10" ht="25.5">
      <c r="A233" s="3" t="s">
        <v>1033</v>
      </c>
      <c r="B233" t="s">
        <v>1034</v>
      </c>
      <c r="D233" s="14"/>
      <c r="F233" s="14"/>
      <c r="H233" s="3">
        <v>3</v>
      </c>
      <c r="J233" s="3">
        <v>1</v>
      </c>
    </row>
    <row r="235" spans="1:10">
      <c r="B235" s="21" t="s">
        <v>60</v>
      </c>
    </row>
    <row r="236" spans="1:10" ht="90" customHeight="1">
      <c r="B236" s="57" t="s">
        <v>1035</v>
      </c>
      <c r="C236" s="57"/>
      <c r="D236" s="57"/>
      <c r="E236" s="57"/>
      <c r="F236" s="57"/>
    </row>
    <row r="237" spans="1:10">
      <c r="F237" s="10" t="s">
        <v>150</v>
      </c>
    </row>
  </sheetData>
  <sheetProtection algorithmName="SHA-1" hashValue="4p97fT0X5BoY35Hxj8rHj6cr1co=" saltValue="MIk9fpuOGRPdxT4MTVA0sQ==" spinCount="100000" sheet="1" objects="1" scenarios="1"/>
  <mergeCells count="46">
    <mergeCell ref="B26:F26"/>
    <mergeCell ref="B21:F21"/>
    <mergeCell ref="B16:F16"/>
    <mergeCell ref="B11:F11"/>
    <mergeCell ref="B56:F56"/>
    <mergeCell ref="B51:F51"/>
    <mergeCell ref="B46:F46"/>
    <mergeCell ref="B41:F41"/>
    <mergeCell ref="B36:F36"/>
    <mergeCell ref="B31:F31"/>
    <mergeCell ref="B61:F61"/>
    <mergeCell ref="B116:F116"/>
    <mergeCell ref="B111:F111"/>
    <mergeCell ref="B106:F106"/>
    <mergeCell ref="B101:F101"/>
    <mergeCell ref="B96:F96"/>
    <mergeCell ref="B91:F91"/>
    <mergeCell ref="B86:F86"/>
    <mergeCell ref="B81:F81"/>
    <mergeCell ref="B76:F76"/>
    <mergeCell ref="B71:F71"/>
    <mergeCell ref="B66:F66"/>
    <mergeCell ref="B121:F121"/>
    <mergeCell ref="B176:F176"/>
    <mergeCell ref="B171:F171"/>
    <mergeCell ref="B166:F166"/>
    <mergeCell ref="B161:F161"/>
    <mergeCell ref="B156:F156"/>
    <mergeCell ref="B151:F151"/>
    <mergeCell ref="B146:F146"/>
    <mergeCell ref="B141:F141"/>
    <mergeCell ref="B136:F136"/>
    <mergeCell ref="B131:F131"/>
    <mergeCell ref="B126:F126"/>
    <mergeCell ref="B181:F181"/>
    <mergeCell ref="B236:F236"/>
    <mergeCell ref="B231:F231"/>
    <mergeCell ref="B226:F226"/>
    <mergeCell ref="B221:F221"/>
    <mergeCell ref="B216:F216"/>
    <mergeCell ref="B211:F211"/>
    <mergeCell ref="B206:F206"/>
    <mergeCell ref="B201:F201"/>
    <mergeCell ref="B196:F196"/>
    <mergeCell ref="B191:F191"/>
    <mergeCell ref="B186:F186"/>
  </mergeCells>
  <dataValidations count="3">
    <dataValidation type="list" allowBlank="1" showInputMessage="1" showErrorMessage="1" sqref="D8 D13 D18 D48 D53 D58 D93 D98 D103 D168 D173 D178" xr:uid="{8D5CB819-49F2-664B-89EC-C9610443C096}">
      <formula1>Response_MIL1</formula1>
    </dataValidation>
    <dataValidation type="list" allowBlank="1" showInputMessage="1" showErrorMessage="1" sqref="D228 D223 D233" xr:uid="{A76A17A7-8C2F-1649-853E-644F7F3FCB0E}">
      <formula1>AntiPattern</formula1>
    </dataValidation>
    <dataValidation type="list" allowBlank="1" showInputMessage="1" showErrorMessage="1" sqref="D23 D28 D43 D63 D68 D73 D38 D33 D218 D213 D208 D203 D198 D193 D188 D183 D163 D158 D153 D148 D143 D138 D133 D128 D123 D118 D113 D108 D88 D83 D78" xr:uid="{38B6A318-542C-CE4E-9539-24A306757132}">
      <formula1>Response_MIL23</formula1>
    </dataValidation>
  </dataValidations>
  <hyperlinks>
    <hyperlink ref="A1" location="Home!G14" tooltip="Click here to return Home" display="Home" xr:uid="{BEA976FF-66D8-0044-B1A7-C7953F7ABD1B}"/>
    <hyperlink ref="F237" location="IR!D12" tooltip="Go to Top" display="Go to Top" xr:uid="{B798B427-3736-9A44-A311-EECF4A87AA28}"/>
  </hyperlinks>
  <pageMargins left="0.7" right="0.7" top="0.75" bottom="0.75" header="0.3" footer="0.3"/>
  <pageSetup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250B1-DB7F-FF4B-93A4-4C480B761156}">
  <sheetPr codeName="Sheet10">
    <tabColor theme="3" tint="0.79998168889431442"/>
    <outlinePr summaryBelow="0"/>
  </sheetPr>
  <dimension ref="A1:J112"/>
  <sheetViews>
    <sheetView zoomScale="120" zoomScaleNormal="120" workbookViewId="0">
      <pane ySplit="6" topLeftCell="A7" activePane="bottomLeft" state="frozen"/>
      <selection pane="bottomLeft" activeCell="A7" sqref="A7"/>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39.75" thickBot="1">
      <c r="B2" s="4" t="s">
        <v>31</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1036</v>
      </c>
      <c r="B7" s="8" t="s">
        <v>1037</v>
      </c>
      <c r="C7" s="8"/>
      <c r="D7" s="8"/>
      <c r="E7" s="8"/>
      <c r="F7" s="8"/>
      <c r="G7" s="8"/>
      <c r="H7" s="8"/>
      <c r="I7" s="8"/>
      <c r="J7" s="8"/>
    </row>
    <row r="8" spans="1:10" ht="38.25">
      <c r="A8" s="3" t="s">
        <v>1038</v>
      </c>
      <c r="B8" t="s">
        <v>1039</v>
      </c>
      <c r="D8" s="14"/>
      <c r="F8" s="14"/>
      <c r="H8" s="3">
        <v>1</v>
      </c>
      <c r="J8" s="3">
        <v>1</v>
      </c>
    </row>
    <row r="10" spans="1:10">
      <c r="B10" s="21" t="s">
        <v>60</v>
      </c>
    </row>
    <row r="11" spans="1:10" ht="30" customHeight="1">
      <c r="B11" s="57" t="s">
        <v>1040</v>
      </c>
      <c r="C11" s="57"/>
      <c r="D11" s="57"/>
      <c r="E11" s="57"/>
      <c r="F11" s="57"/>
    </row>
    <row r="13" spans="1:10" ht="38.25">
      <c r="A13" s="3" t="s">
        <v>1041</v>
      </c>
      <c r="B13" t="s">
        <v>1042</v>
      </c>
      <c r="D13" s="14"/>
      <c r="F13" s="14"/>
      <c r="H13" s="3">
        <v>1</v>
      </c>
      <c r="J13" s="3">
        <v>1</v>
      </c>
    </row>
    <row r="15" spans="1:10">
      <c r="B15" s="21" t="s">
        <v>60</v>
      </c>
    </row>
    <row r="16" spans="1:10" ht="45" customHeight="1">
      <c r="B16" s="57" t="s">
        <v>1043</v>
      </c>
      <c r="C16" s="57"/>
      <c r="D16" s="57"/>
      <c r="E16" s="57"/>
      <c r="F16" s="57"/>
    </row>
    <row r="18" spans="1:10">
      <c r="A18" s="3" t="s">
        <v>1044</v>
      </c>
      <c r="B18" t="s">
        <v>1045</v>
      </c>
      <c r="D18" s="14"/>
      <c r="F18" s="14"/>
      <c r="H18" s="3">
        <v>2</v>
      </c>
      <c r="J18" s="3">
        <v>2</v>
      </c>
    </row>
    <row r="20" spans="1:10">
      <c r="B20" s="21" t="s">
        <v>60</v>
      </c>
    </row>
    <row r="21" spans="1:10" ht="120" customHeight="1">
      <c r="B21" s="57" t="s">
        <v>1046</v>
      </c>
      <c r="C21" s="57"/>
      <c r="D21" s="57"/>
      <c r="E21" s="57"/>
      <c r="F21" s="57"/>
    </row>
    <row r="23" spans="1:10">
      <c r="A23" s="3" t="s">
        <v>1047</v>
      </c>
      <c r="B23" t="s">
        <v>1048</v>
      </c>
      <c r="D23" s="14"/>
      <c r="F23" s="14"/>
      <c r="H23" s="3">
        <v>2</v>
      </c>
      <c r="J23" s="3">
        <v>2</v>
      </c>
    </row>
    <row r="25" spans="1:10">
      <c r="B25" s="21" t="s">
        <v>60</v>
      </c>
    </row>
    <row r="26" spans="1:10" ht="105" customHeight="1">
      <c r="B26" s="57" t="s">
        <v>1049</v>
      </c>
      <c r="C26" s="57"/>
      <c r="D26" s="57"/>
      <c r="E26" s="57"/>
      <c r="F26" s="57"/>
    </row>
    <row r="28" spans="1:10">
      <c r="A28" s="3" t="s">
        <v>1050</v>
      </c>
      <c r="B28" t="s">
        <v>1051</v>
      </c>
      <c r="D28" s="14"/>
      <c r="F28" s="14"/>
      <c r="H28" s="3">
        <v>2</v>
      </c>
      <c r="J28" s="3">
        <v>2</v>
      </c>
    </row>
    <row r="30" spans="1:10">
      <c r="B30" s="21" t="s">
        <v>60</v>
      </c>
    </row>
    <row r="31" spans="1:10" ht="105" customHeight="1">
      <c r="B31" s="57" t="s">
        <v>1052</v>
      </c>
      <c r="C31" s="57"/>
      <c r="D31" s="57"/>
      <c r="E31" s="57"/>
      <c r="F31" s="57"/>
    </row>
    <row r="33" spans="1:10">
      <c r="A33" s="3" t="s">
        <v>1053</v>
      </c>
      <c r="B33" t="s">
        <v>1054</v>
      </c>
      <c r="D33" s="14"/>
      <c r="F33" s="14"/>
      <c r="H33" s="3">
        <v>2</v>
      </c>
      <c r="J33" s="3">
        <v>2</v>
      </c>
    </row>
    <row r="35" spans="1:10">
      <c r="B35" s="21" t="s">
        <v>60</v>
      </c>
    </row>
    <row r="36" spans="1:10" ht="165" customHeight="1">
      <c r="B36" s="57" t="s">
        <v>1055</v>
      </c>
      <c r="C36" s="57"/>
      <c r="D36" s="57"/>
      <c r="E36" s="57"/>
      <c r="F36" s="57"/>
    </row>
    <row r="38" spans="1:10" ht="25.5">
      <c r="A38" s="3" t="s">
        <v>1056</v>
      </c>
      <c r="B38" t="s">
        <v>1057</v>
      </c>
      <c r="D38" s="14"/>
      <c r="F38" s="14"/>
      <c r="H38" s="3">
        <v>3</v>
      </c>
      <c r="J38" s="3">
        <v>3</v>
      </c>
    </row>
    <row r="40" spans="1:10">
      <c r="B40" s="21" t="s">
        <v>60</v>
      </c>
    </row>
    <row r="41" spans="1:10" ht="90" customHeight="1">
      <c r="B41" s="57" t="s">
        <v>1058</v>
      </c>
      <c r="C41" s="57"/>
      <c r="D41" s="57"/>
      <c r="E41" s="57"/>
      <c r="F41" s="57"/>
    </row>
    <row r="42" spans="1:10">
      <c r="A42" s="9" t="s">
        <v>1059</v>
      </c>
      <c r="B42" s="8" t="s">
        <v>1060</v>
      </c>
      <c r="C42" s="8"/>
      <c r="D42" s="8"/>
      <c r="E42" s="8"/>
      <c r="F42" s="8"/>
      <c r="G42" s="8"/>
      <c r="H42" s="8"/>
      <c r="I42" s="8"/>
      <c r="J42" s="8"/>
    </row>
    <row r="43" spans="1:10" ht="25.5">
      <c r="A43" s="3" t="s">
        <v>1061</v>
      </c>
      <c r="B43" t="s">
        <v>1062</v>
      </c>
      <c r="D43" s="14"/>
      <c r="F43" s="14"/>
      <c r="H43" s="3">
        <v>1</v>
      </c>
      <c r="J43" s="3">
        <v>1</v>
      </c>
    </row>
    <row r="45" spans="1:10">
      <c r="B45" s="21" t="s">
        <v>60</v>
      </c>
    </row>
    <row r="46" spans="1:10" ht="135" customHeight="1">
      <c r="B46" s="57" t="s">
        <v>1063</v>
      </c>
      <c r="C46" s="57"/>
      <c r="D46" s="57"/>
      <c r="E46" s="57"/>
      <c r="F46" s="57"/>
    </row>
    <row r="48" spans="1:10" ht="25.5">
      <c r="A48" s="3" t="s">
        <v>1064</v>
      </c>
      <c r="B48" t="s">
        <v>1065</v>
      </c>
      <c r="D48" s="14"/>
      <c r="F48" s="14"/>
      <c r="H48" s="3">
        <v>1</v>
      </c>
      <c r="J48" s="3">
        <v>1</v>
      </c>
    </row>
    <row r="50" spans="1:10">
      <c r="B50" s="21" t="s">
        <v>60</v>
      </c>
    </row>
    <row r="51" spans="1:10" ht="105" customHeight="1">
      <c r="B51" s="57" t="s">
        <v>1066</v>
      </c>
      <c r="C51" s="57"/>
      <c r="D51" s="57"/>
      <c r="E51" s="57"/>
      <c r="F51" s="57"/>
    </row>
    <row r="53" spans="1:10">
      <c r="A53" s="3" t="s">
        <v>1067</v>
      </c>
      <c r="B53" t="s">
        <v>1068</v>
      </c>
      <c r="D53" s="14"/>
      <c r="F53" s="14"/>
      <c r="H53" s="3">
        <v>2</v>
      </c>
      <c r="J53" s="3">
        <v>2</v>
      </c>
    </row>
    <row r="55" spans="1:10">
      <c r="B55" s="21" t="s">
        <v>60</v>
      </c>
    </row>
    <row r="56" spans="1:10" ht="105" customHeight="1">
      <c r="B56" s="57" t="s">
        <v>1069</v>
      </c>
      <c r="C56" s="57"/>
      <c r="D56" s="57"/>
      <c r="E56" s="57"/>
      <c r="F56" s="57"/>
    </row>
    <row r="58" spans="1:10" ht="25.5">
      <c r="A58" s="3" t="s">
        <v>1070</v>
      </c>
      <c r="B58" t="s">
        <v>1071</v>
      </c>
      <c r="D58" s="14"/>
      <c r="F58" s="14"/>
      <c r="H58" s="3">
        <v>2</v>
      </c>
      <c r="J58" s="3">
        <v>2</v>
      </c>
    </row>
    <row r="60" spans="1:10">
      <c r="B60" s="21" t="s">
        <v>60</v>
      </c>
    </row>
    <row r="61" spans="1:10" ht="120" customHeight="1">
      <c r="B61" s="57" t="s">
        <v>1072</v>
      </c>
      <c r="C61" s="57"/>
      <c r="D61" s="57"/>
      <c r="E61" s="57"/>
      <c r="F61" s="57"/>
    </row>
    <row r="63" spans="1:10" ht="38.25">
      <c r="A63" s="3" t="s">
        <v>1073</v>
      </c>
      <c r="B63" t="s">
        <v>1074</v>
      </c>
      <c r="D63" s="14"/>
      <c r="F63" s="14"/>
      <c r="H63" s="3">
        <v>2</v>
      </c>
      <c r="J63" s="3">
        <v>2</v>
      </c>
    </row>
    <row r="65" spans="1:10">
      <c r="B65" s="21" t="s">
        <v>60</v>
      </c>
    </row>
    <row r="66" spans="1:10" ht="90" customHeight="1">
      <c r="B66" s="57" t="s">
        <v>1075</v>
      </c>
      <c r="C66" s="57"/>
      <c r="D66" s="57"/>
      <c r="E66" s="57"/>
      <c r="F66" s="57"/>
    </row>
    <row r="68" spans="1:10" ht="25.5">
      <c r="A68" s="3" t="s">
        <v>1076</v>
      </c>
      <c r="B68" t="s">
        <v>1077</v>
      </c>
      <c r="D68" s="14"/>
      <c r="F68" s="14"/>
      <c r="H68" s="3">
        <v>2</v>
      </c>
      <c r="J68" s="3">
        <v>2</v>
      </c>
    </row>
    <row r="70" spans="1:10">
      <c r="B70" s="21" t="s">
        <v>60</v>
      </c>
    </row>
    <row r="71" spans="1:10" ht="45" customHeight="1">
      <c r="B71" s="57" t="s">
        <v>1078</v>
      </c>
      <c r="C71" s="57"/>
      <c r="D71" s="57"/>
      <c r="E71" s="57"/>
      <c r="F71" s="57"/>
    </row>
    <row r="73" spans="1:10" ht="25.5">
      <c r="A73" s="3" t="s">
        <v>1079</v>
      </c>
      <c r="B73" t="s">
        <v>1080</v>
      </c>
      <c r="D73" s="14"/>
      <c r="F73" s="14"/>
      <c r="H73" s="3">
        <v>2</v>
      </c>
      <c r="J73" s="3">
        <v>2</v>
      </c>
    </row>
    <row r="75" spans="1:10">
      <c r="B75" s="21" t="s">
        <v>60</v>
      </c>
    </row>
    <row r="76" spans="1:10" ht="75" customHeight="1">
      <c r="B76" s="57" t="s">
        <v>1081</v>
      </c>
      <c r="C76" s="57"/>
      <c r="D76" s="57"/>
      <c r="E76" s="57"/>
      <c r="F76" s="57"/>
    </row>
    <row r="78" spans="1:10" ht="25.5">
      <c r="A78" s="3" t="s">
        <v>1082</v>
      </c>
      <c r="B78" t="s">
        <v>1083</v>
      </c>
      <c r="D78" s="14"/>
      <c r="F78" s="14"/>
      <c r="H78" s="3">
        <v>2</v>
      </c>
      <c r="J78" s="3">
        <v>2</v>
      </c>
    </row>
    <row r="80" spans="1:10">
      <c r="B80" s="21" t="s">
        <v>60</v>
      </c>
    </row>
    <row r="81" spans="1:10" ht="150" customHeight="1">
      <c r="B81" s="57" t="s">
        <v>1084</v>
      </c>
      <c r="C81" s="57"/>
      <c r="D81" s="57"/>
      <c r="E81" s="57"/>
      <c r="F81" s="57"/>
    </row>
    <row r="83" spans="1:10" ht="25.5">
      <c r="A83" s="3" t="s">
        <v>1085</v>
      </c>
      <c r="B83" t="s">
        <v>1086</v>
      </c>
      <c r="D83" s="14"/>
      <c r="F83" s="14"/>
      <c r="H83" s="3">
        <v>2</v>
      </c>
      <c r="J83" s="3">
        <v>2</v>
      </c>
    </row>
    <row r="85" spans="1:10">
      <c r="B85" s="21" t="s">
        <v>60</v>
      </c>
    </row>
    <row r="86" spans="1:10" ht="165" customHeight="1">
      <c r="B86" s="57" t="s">
        <v>1087</v>
      </c>
      <c r="C86" s="57"/>
      <c r="D86" s="57"/>
      <c r="E86" s="57"/>
      <c r="F86" s="57"/>
    </row>
    <row r="88" spans="1:10" ht="25.5">
      <c r="A88" s="3" t="s">
        <v>1088</v>
      </c>
      <c r="B88" t="s">
        <v>1089</v>
      </c>
      <c r="D88" s="14"/>
      <c r="F88" s="14"/>
      <c r="H88" s="3">
        <v>3</v>
      </c>
      <c r="J88" s="3">
        <v>3</v>
      </c>
    </row>
    <row r="90" spans="1:10">
      <c r="B90" s="21" t="s">
        <v>60</v>
      </c>
    </row>
    <row r="91" spans="1:10" ht="135" customHeight="1">
      <c r="B91" s="57" t="s">
        <v>1090</v>
      </c>
      <c r="C91" s="57"/>
      <c r="D91" s="57"/>
      <c r="E91" s="57"/>
      <c r="F91" s="57"/>
    </row>
    <row r="93" spans="1:10" ht="25.5">
      <c r="A93" s="3" t="s">
        <v>1091</v>
      </c>
      <c r="B93" t="s">
        <v>1092</v>
      </c>
      <c r="D93" s="14"/>
      <c r="F93" s="14"/>
      <c r="H93" s="3">
        <v>3</v>
      </c>
      <c r="J93" s="3">
        <v>3</v>
      </c>
    </row>
    <row r="95" spans="1:10">
      <c r="B95" s="21" t="s">
        <v>60</v>
      </c>
    </row>
    <row r="96" spans="1:10" ht="165" customHeight="1">
      <c r="B96" s="57" t="s">
        <v>1093</v>
      </c>
      <c r="C96" s="57"/>
      <c r="D96" s="57"/>
      <c r="E96" s="57"/>
      <c r="F96" s="57"/>
    </row>
    <row r="97" spans="1:10">
      <c r="B97" s="7"/>
    </row>
    <row r="98" spans="1:10" ht="25.5">
      <c r="A98" s="3" t="s">
        <v>1094</v>
      </c>
      <c r="B98" t="s">
        <v>1095</v>
      </c>
      <c r="D98" s="14"/>
      <c r="F98" s="14"/>
      <c r="H98" s="3">
        <v>3</v>
      </c>
      <c r="J98" s="3">
        <v>2</v>
      </c>
    </row>
    <row r="100" spans="1:10">
      <c r="B100" s="21" t="s">
        <v>60</v>
      </c>
    </row>
    <row r="101" spans="1:10" ht="45" customHeight="1">
      <c r="B101" s="57" t="s">
        <v>1096</v>
      </c>
      <c r="C101" s="57"/>
      <c r="D101" s="57"/>
      <c r="E101" s="57"/>
      <c r="F101" s="57"/>
    </row>
    <row r="103" spans="1:10" ht="25.5">
      <c r="A103" s="3" t="s">
        <v>1097</v>
      </c>
      <c r="B103" t="s">
        <v>1098</v>
      </c>
      <c r="D103" s="14"/>
      <c r="F103" s="14"/>
      <c r="H103" s="3">
        <v>3</v>
      </c>
      <c r="J103" s="3">
        <v>2</v>
      </c>
    </row>
    <row r="105" spans="1:10">
      <c r="B105" s="21" t="s">
        <v>60</v>
      </c>
    </row>
    <row r="106" spans="1:10" ht="90" customHeight="1">
      <c r="B106" s="57" t="s">
        <v>1099</v>
      </c>
      <c r="C106" s="57"/>
      <c r="D106" s="57"/>
      <c r="E106" s="57"/>
      <c r="F106" s="57"/>
    </row>
    <row r="107" spans="1:10">
      <c r="B107" s="7"/>
    </row>
    <row r="108" spans="1:10" ht="25.5">
      <c r="A108" s="3" t="s">
        <v>1100</v>
      </c>
      <c r="B108" t="s">
        <v>1101</v>
      </c>
      <c r="D108" s="14"/>
      <c r="F108" s="14"/>
      <c r="H108" s="3">
        <v>3</v>
      </c>
      <c r="J108" s="3">
        <v>3</v>
      </c>
    </row>
    <row r="110" spans="1:10">
      <c r="B110" s="21" t="s">
        <v>60</v>
      </c>
    </row>
    <row r="111" spans="1:10" ht="105" customHeight="1">
      <c r="B111" s="57" t="s">
        <v>1102</v>
      </c>
      <c r="C111" s="57"/>
      <c r="D111" s="57"/>
      <c r="E111" s="57"/>
      <c r="F111" s="57"/>
    </row>
    <row r="112" spans="1:10">
      <c r="F112" s="10" t="s">
        <v>150</v>
      </c>
    </row>
  </sheetData>
  <sheetProtection algorithmName="SHA-1" hashValue="XShymzupRlht3TzJT40YmjIsx7I=" saltValue="+SrnsvDGk3u6Nhs2+0vx2w==" spinCount="100000" sheet="1" objects="1" scenarios="1"/>
  <mergeCells count="21">
    <mergeCell ref="B21:F21"/>
    <mergeCell ref="B16:F16"/>
    <mergeCell ref="B11:F11"/>
    <mergeCell ref="B51:F51"/>
    <mergeCell ref="B46:F46"/>
    <mergeCell ref="B41:F41"/>
    <mergeCell ref="B36:F36"/>
    <mergeCell ref="B31:F31"/>
    <mergeCell ref="B26:F26"/>
    <mergeCell ref="B56:F56"/>
    <mergeCell ref="B111:F111"/>
    <mergeCell ref="B106:F106"/>
    <mergeCell ref="B101:F101"/>
    <mergeCell ref="B96:F96"/>
    <mergeCell ref="B91:F91"/>
    <mergeCell ref="B86:F86"/>
    <mergeCell ref="B81:F81"/>
    <mergeCell ref="B76:F76"/>
    <mergeCell ref="B71:F71"/>
    <mergeCell ref="B66:F66"/>
    <mergeCell ref="B61:F61"/>
  </mergeCells>
  <dataValidations count="2">
    <dataValidation type="list" allowBlank="1" showInputMessage="1" showErrorMessage="1" sqref="D18 D23 D28 D33 D38 D53 D58 D63 D68 D73 D78 D83 D88 D93 D98 D103 D108" xr:uid="{98DE8BDE-2250-524C-B104-BF0240E8111E}">
      <formula1>Response_MIL23</formula1>
    </dataValidation>
    <dataValidation type="list" allowBlank="1" showInputMessage="1" showErrorMessage="1" sqref="D8 D13 D48 D43" xr:uid="{2FEC1A47-9664-2B49-A7C5-86C1B9B7967F}">
      <formula1>Response_MIL1</formula1>
    </dataValidation>
  </dataValidations>
  <hyperlinks>
    <hyperlink ref="A1" location="Home!G14" tooltip="Click here to return Home" display="Home" xr:uid="{BA01FD24-526B-EF46-918E-6F015A9047AE}"/>
    <hyperlink ref="F112" location="EDM!D12" tooltip="Go to Top" display="Go to Top" xr:uid="{7B6771CC-1F1E-8940-B150-07652ED3E9B2}"/>
  </hyperlinks>
  <pageMargins left="0.7" right="0.7" top="0.75" bottom="0.75" header="0.3" footer="0.3"/>
  <pageSetup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BC749-E589-1846-AA67-F48BC1700CAF}">
  <sheetPr codeName="Sheet11">
    <tabColor theme="3" tint="0.79998168889431442"/>
    <outlinePr summaryBelow="0"/>
  </sheetPr>
  <dimension ref="A1:J167"/>
  <sheetViews>
    <sheetView zoomScale="120" zoomScaleNormal="120" workbookViewId="0">
      <pane ySplit="6" topLeftCell="A7" activePane="bottomLeft" state="frozen"/>
      <selection pane="bottomLeft" activeCell="A7" sqref="A7"/>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20.25" thickBot="1">
      <c r="B2" s="4" t="s">
        <v>33</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1103</v>
      </c>
      <c r="B7" s="8" t="s">
        <v>1104</v>
      </c>
      <c r="C7" s="8"/>
      <c r="D7" s="8"/>
      <c r="E7" s="8"/>
      <c r="F7" s="8"/>
      <c r="G7" s="8"/>
      <c r="H7" s="8"/>
      <c r="I7" s="8"/>
      <c r="J7" s="8"/>
    </row>
    <row r="8" spans="1:10" ht="25.5">
      <c r="A8" s="3" t="s">
        <v>1105</v>
      </c>
      <c r="B8" t="s">
        <v>1106</v>
      </c>
      <c r="D8" s="14"/>
      <c r="F8" s="14"/>
      <c r="H8" s="3">
        <v>1</v>
      </c>
      <c r="J8" s="3">
        <v>1</v>
      </c>
    </row>
    <row r="10" spans="1:10">
      <c r="B10" s="21" t="s">
        <v>60</v>
      </c>
    </row>
    <row r="11" spans="1:10" ht="30" customHeight="1">
      <c r="B11" s="57" t="s">
        <v>1107</v>
      </c>
      <c r="C11" s="57"/>
      <c r="D11" s="57"/>
      <c r="E11" s="57"/>
      <c r="F11" s="57"/>
    </row>
    <row r="13" spans="1:10" ht="25.5">
      <c r="A13" s="3" t="s">
        <v>1108</v>
      </c>
      <c r="B13" t="s">
        <v>1109</v>
      </c>
      <c r="D13" s="14"/>
      <c r="F13" s="14"/>
      <c r="H13" s="3">
        <v>1</v>
      </c>
      <c r="J13" s="3">
        <v>1</v>
      </c>
    </row>
    <row r="15" spans="1:10">
      <c r="B15" s="21" t="s">
        <v>60</v>
      </c>
    </row>
    <row r="16" spans="1:10" ht="30" customHeight="1">
      <c r="B16" s="57" t="s">
        <v>1110</v>
      </c>
      <c r="C16" s="57"/>
      <c r="D16" s="57"/>
      <c r="E16" s="57"/>
      <c r="F16" s="57"/>
    </row>
    <row r="18" spans="1:10" ht="25.5">
      <c r="A18" s="3" t="s">
        <v>1111</v>
      </c>
      <c r="B18" t="s">
        <v>1112</v>
      </c>
      <c r="D18" s="14"/>
      <c r="F18" s="14"/>
      <c r="H18" s="3">
        <v>2</v>
      </c>
      <c r="J18" s="3">
        <v>2</v>
      </c>
    </row>
    <row r="20" spans="1:10">
      <c r="B20" s="21" t="s">
        <v>60</v>
      </c>
    </row>
    <row r="21" spans="1:10" ht="120" customHeight="1">
      <c r="B21" s="57" t="s">
        <v>1113</v>
      </c>
      <c r="C21" s="57"/>
      <c r="D21" s="57"/>
      <c r="E21" s="57"/>
      <c r="F21" s="57"/>
    </row>
    <row r="23" spans="1:10">
      <c r="A23" s="3" t="s">
        <v>1114</v>
      </c>
      <c r="B23" t="s">
        <v>1115</v>
      </c>
      <c r="D23" s="14"/>
      <c r="F23" s="14"/>
      <c r="H23" s="3">
        <v>2</v>
      </c>
      <c r="J23" s="3">
        <v>1</v>
      </c>
    </row>
    <row r="25" spans="1:10">
      <c r="B25" s="21" t="s">
        <v>60</v>
      </c>
    </row>
    <row r="26" spans="1:10" ht="60" customHeight="1">
      <c r="B26" s="57" t="s">
        <v>1116</v>
      </c>
      <c r="C26" s="57"/>
      <c r="D26" s="57"/>
      <c r="E26" s="57"/>
      <c r="F26" s="57"/>
    </row>
    <row r="28" spans="1:10" ht="25.5">
      <c r="A28" s="3" t="s">
        <v>1117</v>
      </c>
      <c r="B28" t="s">
        <v>1118</v>
      </c>
      <c r="D28" s="14"/>
      <c r="F28" s="14"/>
      <c r="H28" s="3">
        <v>3</v>
      </c>
      <c r="J28" s="3">
        <v>2</v>
      </c>
    </row>
    <row r="30" spans="1:10">
      <c r="B30" s="21" t="s">
        <v>60</v>
      </c>
    </row>
    <row r="31" spans="1:10" ht="150" customHeight="1">
      <c r="B31" s="57" t="s">
        <v>1119</v>
      </c>
      <c r="C31" s="57"/>
      <c r="D31" s="57"/>
      <c r="E31" s="57"/>
      <c r="F31" s="57"/>
    </row>
    <row r="33" spans="1:10">
      <c r="A33" s="3" t="s">
        <v>1120</v>
      </c>
      <c r="B33" t="s">
        <v>1121</v>
      </c>
      <c r="D33" s="14"/>
      <c r="F33" s="14"/>
      <c r="H33" s="3">
        <v>3</v>
      </c>
      <c r="J33" s="3">
        <v>3</v>
      </c>
    </row>
    <row r="35" spans="1:10">
      <c r="B35" s="21" t="s">
        <v>60</v>
      </c>
    </row>
    <row r="36" spans="1:10" ht="105" customHeight="1">
      <c r="B36" s="57" t="s">
        <v>1122</v>
      </c>
      <c r="C36" s="57"/>
      <c r="D36" s="57"/>
      <c r="E36" s="57"/>
      <c r="F36" s="57"/>
    </row>
    <row r="38" spans="1:10" ht="25.5">
      <c r="A38" s="3" t="s">
        <v>1123</v>
      </c>
      <c r="B38" t="s">
        <v>1124</v>
      </c>
      <c r="D38" s="14"/>
      <c r="F38" s="14"/>
      <c r="H38" s="3">
        <v>3</v>
      </c>
      <c r="J38" s="3">
        <v>3</v>
      </c>
    </row>
    <row r="40" spans="1:10">
      <c r="B40" s="21" t="s">
        <v>60</v>
      </c>
    </row>
    <row r="41" spans="1:10" ht="30" customHeight="1">
      <c r="B41" s="57" t="s">
        <v>1125</v>
      </c>
      <c r="C41" s="57"/>
      <c r="D41" s="57"/>
      <c r="E41" s="57"/>
      <c r="F41" s="57"/>
    </row>
    <row r="42" spans="1:10">
      <c r="A42" s="9" t="s">
        <v>1126</v>
      </c>
      <c r="B42" s="8" t="s">
        <v>1127</v>
      </c>
      <c r="C42" s="8"/>
      <c r="D42" s="8"/>
      <c r="E42" s="8"/>
      <c r="F42" s="8"/>
      <c r="G42" s="8"/>
      <c r="H42" s="8"/>
      <c r="I42" s="8"/>
      <c r="J42" s="8"/>
    </row>
    <row r="43" spans="1:10" ht="38.25">
      <c r="A43" s="3" t="s">
        <v>1128</v>
      </c>
      <c r="B43" t="s">
        <v>1129</v>
      </c>
      <c r="D43" s="14"/>
      <c r="F43" s="14"/>
      <c r="H43" s="3">
        <v>1</v>
      </c>
      <c r="J43" s="3">
        <v>1</v>
      </c>
    </row>
    <row r="45" spans="1:10">
      <c r="B45" s="21" t="s">
        <v>60</v>
      </c>
    </row>
    <row r="46" spans="1:10" ht="60" customHeight="1">
      <c r="B46" s="57" t="s">
        <v>1130</v>
      </c>
      <c r="C46" s="57"/>
      <c r="D46" s="57"/>
      <c r="E46" s="57"/>
      <c r="F46" s="57"/>
    </row>
    <row r="48" spans="1:10" ht="25.5">
      <c r="A48" s="3" t="s">
        <v>1131</v>
      </c>
      <c r="B48" t="s">
        <v>1132</v>
      </c>
      <c r="D48" s="14"/>
      <c r="F48" s="14"/>
      <c r="H48" s="3">
        <v>1</v>
      </c>
      <c r="J48" s="3">
        <v>1</v>
      </c>
    </row>
    <row r="50" spans="1:10">
      <c r="B50" s="21" t="s">
        <v>60</v>
      </c>
    </row>
    <row r="51" spans="1:10" ht="105" customHeight="1">
      <c r="B51" s="57" t="s">
        <v>1133</v>
      </c>
      <c r="C51" s="57"/>
      <c r="D51" s="57"/>
      <c r="E51" s="57"/>
      <c r="F51" s="57"/>
    </row>
    <row r="53" spans="1:10" ht="25.5">
      <c r="A53" s="3" t="s">
        <v>1134</v>
      </c>
      <c r="B53" t="s">
        <v>1135</v>
      </c>
      <c r="D53" s="14"/>
      <c r="F53" s="14"/>
      <c r="H53" s="3">
        <v>2</v>
      </c>
      <c r="J53" s="3">
        <v>2</v>
      </c>
    </row>
    <row r="55" spans="1:10">
      <c r="B55" s="21" t="s">
        <v>60</v>
      </c>
    </row>
    <row r="56" spans="1:10" ht="105" customHeight="1">
      <c r="B56" s="57" t="s">
        <v>1136</v>
      </c>
      <c r="C56" s="57"/>
      <c r="D56" s="57"/>
      <c r="E56" s="57"/>
      <c r="F56" s="57"/>
    </row>
    <row r="58" spans="1:10">
      <c r="A58" s="3" t="s">
        <v>1137</v>
      </c>
      <c r="B58" t="s">
        <v>1138</v>
      </c>
      <c r="D58" s="14"/>
      <c r="F58" s="14"/>
      <c r="H58" s="3">
        <v>2</v>
      </c>
      <c r="J58" s="3">
        <v>2</v>
      </c>
    </row>
    <row r="60" spans="1:10">
      <c r="B60" s="21" t="s">
        <v>60</v>
      </c>
    </row>
    <row r="61" spans="1:10" ht="75" customHeight="1">
      <c r="B61" s="57" t="s">
        <v>1139</v>
      </c>
      <c r="C61" s="57"/>
      <c r="D61" s="57"/>
      <c r="E61" s="57"/>
      <c r="F61" s="57"/>
    </row>
    <row r="63" spans="1:10" ht="25.5">
      <c r="A63" s="3" t="s">
        <v>1140</v>
      </c>
      <c r="B63" t="s">
        <v>1141</v>
      </c>
      <c r="D63" s="14"/>
      <c r="F63" s="14"/>
      <c r="H63" s="3">
        <v>3</v>
      </c>
      <c r="J63" s="3">
        <v>3</v>
      </c>
    </row>
    <row r="65" spans="1:10">
      <c r="B65" s="21" t="s">
        <v>60</v>
      </c>
    </row>
    <row r="66" spans="1:10" ht="90" customHeight="1">
      <c r="B66" s="57" t="s">
        <v>1142</v>
      </c>
      <c r="C66" s="57"/>
      <c r="D66" s="57"/>
      <c r="E66" s="57"/>
      <c r="F66" s="57"/>
    </row>
    <row r="68" spans="1:10" ht="25.5">
      <c r="A68" s="3" t="s">
        <v>1143</v>
      </c>
      <c r="B68" t="s">
        <v>1144</v>
      </c>
      <c r="D68" s="14"/>
      <c r="F68" s="14"/>
      <c r="H68" s="3">
        <v>3</v>
      </c>
      <c r="J68" s="3">
        <v>3</v>
      </c>
    </row>
    <row r="70" spans="1:10">
      <c r="B70" s="21" t="s">
        <v>60</v>
      </c>
    </row>
    <row r="71" spans="1:10" ht="150" customHeight="1">
      <c r="B71" s="57" t="s">
        <v>1145</v>
      </c>
      <c r="C71" s="57"/>
      <c r="D71" s="57"/>
      <c r="E71" s="57"/>
      <c r="F71" s="57"/>
    </row>
    <row r="73" spans="1:10">
      <c r="A73" s="3" t="s">
        <v>1146</v>
      </c>
      <c r="B73" t="s">
        <v>1147</v>
      </c>
      <c r="D73" s="14"/>
      <c r="F73" s="14"/>
      <c r="H73" s="3">
        <v>3</v>
      </c>
      <c r="J73" s="3">
        <v>3</v>
      </c>
    </row>
    <row r="75" spans="1:10">
      <c r="B75" s="21" t="s">
        <v>60</v>
      </c>
    </row>
    <row r="76" spans="1:10" ht="75" customHeight="1">
      <c r="B76" s="57" t="s">
        <v>1148</v>
      </c>
      <c r="C76" s="57"/>
      <c r="D76" s="57"/>
      <c r="E76" s="57"/>
      <c r="F76" s="57"/>
    </row>
    <row r="78" spans="1:10" ht="25.5">
      <c r="A78" s="3" t="s">
        <v>1149</v>
      </c>
      <c r="B78" t="s">
        <v>1150</v>
      </c>
      <c r="D78" s="14"/>
      <c r="F78" s="14"/>
      <c r="H78" s="3">
        <v>3</v>
      </c>
      <c r="J78" s="3">
        <v>2</v>
      </c>
    </row>
    <row r="80" spans="1:10">
      <c r="B80" s="21" t="s">
        <v>60</v>
      </c>
    </row>
    <row r="81" spans="1:10" ht="45" customHeight="1">
      <c r="B81" s="57" t="s">
        <v>1151</v>
      </c>
      <c r="C81" s="57"/>
      <c r="D81" s="57"/>
      <c r="E81" s="57"/>
      <c r="F81" s="57"/>
    </row>
    <row r="82" spans="1:10">
      <c r="A82" s="9" t="s">
        <v>1152</v>
      </c>
      <c r="B82" s="8" t="s">
        <v>1153</v>
      </c>
      <c r="C82" s="8"/>
      <c r="D82" s="8"/>
      <c r="E82" s="8"/>
      <c r="F82" s="8"/>
      <c r="G82" s="8"/>
      <c r="H82" s="8"/>
      <c r="I82" s="8"/>
      <c r="J82" s="8"/>
    </row>
    <row r="83" spans="1:10" ht="25.5">
      <c r="A83" s="3" t="s">
        <v>1154</v>
      </c>
      <c r="B83" t="s">
        <v>1155</v>
      </c>
      <c r="D83" s="14"/>
      <c r="F83" s="14"/>
      <c r="H83" s="3">
        <v>1</v>
      </c>
      <c r="J83" s="3">
        <v>1</v>
      </c>
    </row>
    <row r="85" spans="1:10">
      <c r="B85" s="21" t="s">
        <v>60</v>
      </c>
    </row>
    <row r="86" spans="1:10" ht="30" customHeight="1">
      <c r="B86" s="57" t="s">
        <v>1156</v>
      </c>
      <c r="C86" s="57"/>
      <c r="D86" s="57"/>
      <c r="E86" s="57"/>
      <c r="F86" s="57"/>
    </row>
    <row r="88" spans="1:10">
      <c r="A88" s="3" t="s">
        <v>1157</v>
      </c>
      <c r="B88" t="s">
        <v>1158</v>
      </c>
      <c r="D88" s="14"/>
      <c r="F88" s="14"/>
      <c r="H88" s="3">
        <v>2</v>
      </c>
      <c r="J88" s="3">
        <v>2</v>
      </c>
    </row>
    <row r="90" spans="1:10">
      <c r="B90" s="21" t="s">
        <v>60</v>
      </c>
    </row>
    <row r="91" spans="1:10" ht="45" customHeight="1">
      <c r="B91" s="57" t="s">
        <v>1159</v>
      </c>
      <c r="C91" s="57"/>
      <c r="D91" s="57"/>
      <c r="E91" s="57"/>
      <c r="F91" s="57"/>
    </row>
    <row r="92" spans="1:10">
      <c r="B92" s="7"/>
    </row>
    <row r="93" spans="1:10">
      <c r="A93" s="3" t="s">
        <v>1160</v>
      </c>
      <c r="B93" t="s">
        <v>1161</v>
      </c>
      <c r="D93" s="14"/>
      <c r="F93" s="14"/>
      <c r="H93" s="3">
        <v>2</v>
      </c>
      <c r="J93" s="3">
        <v>2</v>
      </c>
    </row>
    <row r="95" spans="1:10">
      <c r="B95" s="21" t="s">
        <v>60</v>
      </c>
    </row>
    <row r="96" spans="1:10" ht="30" customHeight="1">
      <c r="B96" s="57" t="s">
        <v>1162</v>
      </c>
      <c r="C96" s="57"/>
      <c r="D96" s="57"/>
      <c r="E96" s="57"/>
      <c r="F96" s="57"/>
    </row>
    <row r="98" spans="1:10" ht="38.25">
      <c r="A98" s="3" t="s">
        <v>1163</v>
      </c>
      <c r="B98" t="s">
        <v>1164</v>
      </c>
      <c r="D98" s="14"/>
      <c r="F98" s="14"/>
      <c r="H98" s="3">
        <v>2</v>
      </c>
      <c r="J98" s="3">
        <v>1</v>
      </c>
    </row>
    <row r="100" spans="1:10">
      <c r="B100" s="21" t="s">
        <v>60</v>
      </c>
    </row>
    <row r="101" spans="1:10" ht="90" customHeight="1">
      <c r="B101" s="57" t="s">
        <v>1165</v>
      </c>
      <c r="C101" s="57"/>
      <c r="D101" s="57"/>
      <c r="E101" s="57"/>
      <c r="F101" s="57"/>
    </row>
    <row r="102" spans="1:10">
      <c r="B102" s="7"/>
    </row>
    <row r="103" spans="1:10" ht="25.5">
      <c r="A103" s="3" t="s">
        <v>1166</v>
      </c>
      <c r="B103" t="s">
        <v>1167</v>
      </c>
      <c r="D103" s="14"/>
      <c r="F103" s="14"/>
      <c r="H103" s="3">
        <v>3</v>
      </c>
      <c r="J103" s="3">
        <v>3</v>
      </c>
    </row>
    <row r="105" spans="1:10">
      <c r="B105" s="21" t="s">
        <v>60</v>
      </c>
    </row>
    <row r="106" spans="1:10" ht="90" customHeight="1">
      <c r="B106" s="57" t="s">
        <v>1168</v>
      </c>
      <c r="C106" s="57"/>
      <c r="D106" s="57"/>
      <c r="E106" s="57"/>
      <c r="F106" s="57"/>
    </row>
    <row r="108" spans="1:10" ht="25.5">
      <c r="A108" s="3" t="s">
        <v>1169</v>
      </c>
      <c r="B108" t="s">
        <v>1170</v>
      </c>
      <c r="D108" s="14"/>
      <c r="F108" s="14"/>
      <c r="H108" s="3">
        <v>3</v>
      </c>
      <c r="J108" s="3">
        <v>3</v>
      </c>
    </row>
    <row r="110" spans="1:10">
      <c r="B110" s="21" t="s">
        <v>60</v>
      </c>
    </row>
    <row r="111" spans="1:10" ht="45" customHeight="1">
      <c r="B111" s="57" t="s">
        <v>1171</v>
      </c>
      <c r="C111" s="57"/>
      <c r="D111" s="57"/>
      <c r="E111" s="57"/>
      <c r="F111" s="57"/>
    </row>
    <row r="112" spans="1:10">
      <c r="B112" s="7"/>
    </row>
    <row r="113" spans="1:10" ht="25.5">
      <c r="A113" s="3" t="s">
        <v>1172</v>
      </c>
      <c r="B113" t="s">
        <v>1173</v>
      </c>
      <c r="D113" s="14"/>
      <c r="F113" s="14"/>
      <c r="H113" s="3">
        <v>3</v>
      </c>
      <c r="J113" s="3">
        <v>3</v>
      </c>
    </row>
    <row r="115" spans="1:10">
      <c r="B115" s="21" t="s">
        <v>60</v>
      </c>
    </row>
    <row r="116" spans="1:10" ht="45" customHeight="1">
      <c r="B116" s="57" t="s">
        <v>1174</v>
      </c>
      <c r="C116" s="57"/>
      <c r="D116" s="57"/>
      <c r="E116" s="57"/>
      <c r="F116" s="57"/>
    </row>
    <row r="118" spans="1:10" ht="25.5">
      <c r="A118" s="3" t="s">
        <v>1175</v>
      </c>
      <c r="B118" t="s">
        <v>1176</v>
      </c>
      <c r="D118" s="14"/>
      <c r="F118" s="14"/>
      <c r="H118" s="3">
        <v>3</v>
      </c>
      <c r="J118" s="3">
        <v>3</v>
      </c>
    </row>
    <row r="120" spans="1:10">
      <c r="B120" s="21" t="s">
        <v>60</v>
      </c>
    </row>
    <row r="121" spans="1:10" ht="75" customHeight="1">
      <c r="B121" s="57" t="s">
        <v>1177</v>
      </c>
      <c r="C121" s="57"/>
      <c r="D121" s="57"/>
      <c r="E121" s="57"/>
      <c r="F121" s="57"/>
    </row>
    <row r="123" spans="1:10" ht="25.5">
      <c r="A123" s="3" t="s">
        <v>1178</v>
      </c>
      <c r="B123" t="s">
        <v>1179</v>
      </c>
      <c r="D123" s="14"/>
      <c r="F123" s="14"/>
      <c r="H123" s="3">
        <v>3</v>
      </c>
      <c r="J123" s="3">
        <v>3</v>
      </c>
    </row>
    <row r="125" spans="1:10">
      <c r="B125" s="21" t="s">
        <v>60</v>
      </c>
    </row>
    <row r="126" spans="1:10" ht="45" customHeight="1">
      <c r="B126" s="57" t="s">
        <v>1180</v>
      </c>
      <c r="C126" s="57"/>
      <c r="D126" s="57"/>
      <c r="E126" s="57"/>
      <c r="F126" s="57"/>
    </row>
    <row r="127" spans="1:10">
      <c r="A127" s="9" t="s">
        <v>1181</v>
      </c>
      <c r="B127" s="8" t="s">
        <v>1182</v>
      </c>
      <c r="C127" s="8"/>
      <c r="D127" s="8"/>
      <c r="E127" s="8"/>
      <c r="F127" s="8"/>
      <c r="G127" s="8"/>
      <c r="H127" s="8"/>
      <c r="I127" s="8"/>
      <c r="J127" s="8"/>
    </row>
    <row r="128" spans="1:10">
      <c r="A128" s="3" t="s">
        <v>1183</v>
      </c>
      <c r="B128" t="s">
        <v>1184</v>
      </c>
      <c r="D128" s="14"/>
      <c r="F128" s="14"/>
      <c r="H128" s="3">
        <v>1</v>
      </c>
      <c r="J128" s="3">
        <v>1</v>
      </c>
    </row>
    <row r="130" spans="1:10">
      <c r="B130" s="21" t="s">
        <v>60</v>
      </c>
    </row>
    <row r="131" spans="1:10" ht="30" customHeight="1">
      <c r="B131" s="57" t="s">
        <v>1185</v>
      </c>
      <c r="C131" s="57"/>
      <c r="D131" s="57"/>
      <c r="E131" s="57"/>
      <c r="F131" s="57"/>
    </row>
    <row r="133" spans="1:10">
      <c r="A133" s="3" t="s">
        <v>1186</v>
      </c>
      <c r="B133" t="s">
        <v>1187</v>
      </c>
      <c r="D133" s="14"/>
      <c r="F133" s="14"/>
      <c r="H133" s="3">
        <v>2</v>
      </c>
      <c r="J133" s="3">
        <v>2</v>
      </c>
    </row>
    <row r="135" spans="1:10">
      <c r="B135" s="21" t="s">
        <v>60</v>
      </c>
    </row>
    <row r="136" spans="1:10" ht="105" customHeight="1">
      <c r="B136" s="57" t="s">
        <v>1188</v>
      </c>
      <c r="C136" s="57"/>
      <c r="D136" s="57"/>
      <c r="E136" s="57"/>
      <c r="F136" s="57"/>
    </row>
    <row r="138" spans="1:10" ht="25.5">
      <c r="A138" s="3" t="s">
        <v>1189</v>
      </c>
      <c r="B138" t="s">
        <v>1190</v>
      </c>
      <c r="D138" s="14"/>
      <c r="F138" s="14"/>
      <c r="H138" s="3">
        <v>2</v>
      </c>
      <c r="J138" s="3">
        <v>2</v>
      </c>
    </row>
    <row r="140" spans="1:10">
      <c r="B140" s="21" t="s">
        <v>60</v>
      </c>
    </row>
    <row r="141" spans="1:10" ht="120" customHeight="1">
      <c r="B141" s="57" t="s">
        <v>1191</v>
      </c>
      <c r="C141" s="57"/>
      <c r="D141" s="57"/>
      <c r="E141" s="57"/>
      <c r="F141" s="57"/>
    </row>
    <row r="143" spans="1:10" ht="25.5">
      <c r="A143" s="3" t="s">
        <v>1192</v>
      </c>
      <c r="B143" t="s">
        <v>1193</v>
      </c>
      <c r="D143" s="14"/>
      <c r="F143" s="14"/>
      <c r="H143" s="3">
        <v>3</v>
      </c>
      <c r="J143" s="3">
        <v>3</v>
      </c>
    </row>
    <row r="145" spans="1:10">
      <c r="B145" s="21" t="s">
        <v>60</v>
      </c>
    </row>
    <row r="146" spans="1:10" ht="135" customHeight="1">
      <c r="B146" s="57" t="s">
        <v>1194</v>
      </c>
      <c r="C146" s="57"/>
      <c r="D146" s="57"/>
      <c r="E146" s="57"/>
      <c r="F146" s="57"/>
    </row>
    <row r="148" spans="1:10" ht="25.5">
      <c r="A148" s="3" t="s">
        <v>1195</v>
      </c>
      <c r="B148" t="s">
        <v>1196</v>
      </c>
      <c r="D148" s="14"/>
      <c r="F148" s="14"/>
      <c r="H148" s="3">
        <v>3</v>
      </c>
      <c r="J148" s="3">
        <v>3</v>
      </c>
    </row>
    <row r="150" spans="1:10">
      <c r="B150" s="21" t="s">
        <v>60</v>
      </c>
    </row>
    <row r="151" spans="1:10" ht="75" customHeight="1">
      <c r="B151" s="57" t="s">
        <v>1197</v>
      </c>
      <c r="C151" s="57"/>
      <c r="D151" s="57"/>
      <c r="E151" s="57"/>
      <c r="F151" s="57"/>
    </row>
    <row r="152" spans="1:10">
      <c r="A152" s="9" t="s">
        <v>1198</v>
      </c>
      <c r="B152" s="8" t="s">
        <v>1199</v>
      </c>
      <c r="C152" s="8"/>
      <c r="D152" s="8"/>
      <c r="E152" s="8"/>
      <c r="F152" s="8"/>
      <c r="G152" s="8"/>
      <c r="H152" s="8"/>
      <c r="I152" s="8"/>
      <c r="J152" s="8"/>
    </row>
    <row r="153" spans="1:10" ht="25.5">
      <c r="A153" s="3" t="s">
        <v>1200</v>
      </c>
      <c r="B153" t="s">
        <v>1201</v>
      </c>
      <c r="D153" s="14"/>
      <c r="F153" s="14"/>
      <c r="H153" s="3">
        <v>3</v>
      </c>
      <c r="J153" s="3">
        <v>2</v>
      </c>
    </row>
    <row r="155" spans="1:10">
      <c r="B155" s="21" t="s">
        <v>60</v>
      </c>
    </row>
    <row r="156" spans="1:10" ht="135" customHeight="1">
      <c r="B156" s="57" t="s">
        <v>1202</v>
      </c>
      <c r="C156" s="57"/>
      <c r="D156" s="57"/>
      <c r="E156" s="57"/>
      <c r="F156" s="57"/>
    </row>
    <row r="158" spans="1:10" ht="25.5">
      <c r="A158" s="3" t="s">
        <v>1203</v>
      </c>
      <c r="B158" t="s">
        <v>1204</v>
      </c>
      <c r="D158" s="14"/>
      <c r="F158" s="14"/>
      <c r="H158" s="3">
        <v>3</v>
      </c>
      <c r="J158" s="3">
        <v>3</v>
      </c>
    </row>
    <row r="160" spans="1:10">
      <c r="B160" s="21" t="s">
        <v>60</v>
      </c>
    </row>
    <row r="161" spans="1:10" ht="135" customHeight="1">
      <c r="B161" s="57" t="s">
        <v>1205</v>
      </c>
      <c r="C161" s="57"/>
      <c r="D161" s="57"/>
      <c r="E161" s="57"/>
      <c r="F161" s="57"/>
    </row>
    <row r="163" spans="1:10" ht="25.5">
      <c r="A163" s="3" t="s">
        <v>1206</v>
      </c>
      <c r="B163" t="s">
        <v>1207</v>
      </c>
      <c r="D163" s="14"/>
      <c r="F163" s="14"/>
      <c r="H163" s="3">
        <v>3</v>
      </c>
      <c r="J163" s="3">
        <v>3</v>
      </c>
    </row>
    <row r="165" spans="1:10">
      <c r="B165" s="21" t="s">
        <v>60</v>
      </c>
    </row>
    <row r="166" spans="1:10" ht="75" customHeight="1">
      <c r="B166" s="57" t="s">
        <v>1208</v>
      </c>
      <c r="C166" s="57"/>
      <c r="D166" s="57"/>
      <c r="E166" s="57"/>
      <c r="F166" s="57"/>
    </row>
    <row r="167" spans="1:10">
      <c r="F167" s="10" t="s">
        <v>150</v>
      </c>
    </row>
  </sheetData>
  <sheetProtection algorithmName="SHA-1" hashValue="4feSDW1WtK3x8N8hes0Y3z2nG5A=" saltValue="NO44CQPRE0v4kTuFHJxeSQ==" spinCount="100000" sheet="1" objects="1" scenarios="1"/>
  <mergeCells count="32">
    <mergeCell ref="B16:F16"/>
    <mergeCell ref="B11:F11"/>
    <mergeCell ref="B46:F46"/>
    <mergeCell ref="B41:F41"/>
    <mergeCell ref="B36:F36"/>
    <mergeCell ref="B31:F31"/>
    <mergeCell ref="B26:F26"/>
    <mergeCell ref="B21:F21"/>
    <mergeCell ref="B51:F51"/>
    <mergeCell ref="B106:F106"/>
    <mergeCell ref="B101:F101"/>
    <mergeCell ref="B96:F96"/>
    <mergeCell ref="B91:F91"/>
    <mergeCell ref="B86:F86"/>
    <mergeCell ref="B81:F81"/>
    <mergeCell ref="B76:F76"/>
    <mergeCell ref="B71:F71"/>
    <mergeCell ref="B66:F66"/>
    <mergeCell ref="B61:F61"/>
    <mergeCell ref="B56:F56"/>
    <mergeCell ref="B111:F111"/>
    <mergeCell ref="B166:F166"/>
    <mergeCell ref="B161:F161"/>
    <mergeCell ref="B156:F156"/>
    <mergeCell ref="B151:F151"/>
    <mergeCell ref="B146:F146"/>
    <mergeCell ref="B141:F141"/>
    <mergeCell ref="B136:F136"/>
    <mergeCell ref="B131:F131"/>
    <mergeCell ref="B126:F126"/>
    <mergeCell ref="B121:F121"/>
    <mergeCell ref="B116:F116"/>
  </mergeCells>
  <dataValidations count="3">
    <dataValidation type="list" allowBlank="1" showInputMessage="1" showErrorMessage="1" sqref="D18 D23 D28 D33 D38 D53 D58 D63 D68 D73 D78 D88 D93 D98 D103 D108 D113 D118 D123 D133 D138 D143 D148" xr:uid="{0B9B6DB7-C1B1-D041-AC02-475CED859CDA}">
      <formula1>Response_MIL23</formula1>
    </dataValidation>
    <dataValidation type="list" allowBlank="1" showInputMessage="1" showErrorMessage="1" sqref="D158 D153 D163" xr:uid="{B7D0322A-3F52-1144-AC4F-8EB902A4D45F}">
      <formula1>AntiPattern</formula1>
    </dataValidation>
    <dataValidation type="list" allowBlank="1" showInputMessage="1" showErrorMessage="1" sqref="D13 D48 D128 D43 D8 D83" xr:uid="{E1CA7C5F-CEBE-FA4A-AAB5-907A49079DE0}">
      <formula1>Response_MIL1</formula1>
    </dataValidation>
  </dataValidations>
  <hyperlinks>
    <hyperlink ref="A1" location="Home!G14" tooltip="Click here to return Home" display="Home" xr:uid="{A63073E5-CA6D-0146-99D8-57920229CCD8}"/>
    <hyperlink ref="F167" location="WM!D12" tooltip="Go to Top" display="Go to Top" xr:uid="{3A80D19C-EBB9-794D-8C69-C815246AE6F0}"/>
  </hyperlinks>
  <pageMargins left="0.7" right="0.7" top="0.75" bottom="0.75" header="0.3" footer="0.3"/>
  <pageSetup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C5524-3082-5440-9D2F-22C8A331FD74}">
  <sheetPr codeName="Sheet12">
    <tabColor theme="3" tint="0.79998168889431442"/>
    <outlinePr summaryBelow="0"/>
  </sheetPr>
  <dimension ref="A1:J92"/>
  <sheetViews>
    <sheetView zoomScale="120" zoomScaleNormal="120" workbookViewId="0">
      <pane ySplit="6" topLeftCell="A7" activePane="bottomLeft" state="frozen"/>
      <selection pane="bottomLeft" activeCell="A7" sqref="A7"/>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20.25" thickBot="1">
      <c r="B2" s="4" t="s">
        <v>35</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1209</v>
      </c>
      <c r="B7" s="8" t="s">
        <v>1210</v>
      </c>
      <c r="C7" s="8"/>
      <c r="D7" s="8"/>
      <c r="E7" s="8"/>
      <c r="F7" s="8"/>
      <c r="G7" s="8"/>
      <c r="H7" s="8"/>
      <c r="I7" s="8"/>
      <c r="J7" s="8"/>
    </row>
    <row r="8" spans="1:10" ht="25.5">
      <c r="A8" s="3" t="s">
        <v>1211</v>
      </c>
      <c r="B8" t="s">
        <v>1212</v>
      </c>
      <c r="D8" s="14"/>
      <c r="F8" s="14"/>
      <c r="H8" s="3">
        <v>1</v>
      </c>
      <c r="J8" s="3">
        <v>1</v>
      </c>
    </row>
    <row r="10" spans="1:10">
      <c r="B10" s="21" t="s">
        <v>60</v>
      </c>
    </row>
    <row r="11" spans="1:10" ht="120" customHeight="1">
      <c r="B11" s="57" t="s">
        <v>1213</v>
      </c>
      <c r="C11" s="57"/>
      <c r="D11" s="57"/>
      <c r="E11" s="57"/>
      <c r="F11" s="57"/>
    </row>
    <row r="13" spans="1:10" ht="25.5">
      <c r="A13" s="3" t="s">
        <v>1214</v>
      </c>
      <c r="B13" t="s">
        <v>1215</v>
      </c>
      <c r="D13" s="14"/>
      <c r="F13" s="14"/>
      <c r="H13" s="3">
        <v>1</v>
      </c>
      <c r="J13" s="3">
        <v>1</v>
      </c>
    </row>
    <row r="15" spans="1:10">
      <c r="B15" s="21" t="s">
        <v>60</v>
      </c>
    </row>
    <row r="16" spans="1:10" ht="45" customHeight="1">
      <c r="B16" s="57" t="s">
        <v>1216</v>
      </c>
      <c r="C16" s="57"/>
      <c r="D16" s="57"/>
      <c r="E16" s="57"/>
      <c r="F16" s="57"/>
    </row>
    <row r="18" spans="1:10" ht="25.5">
      <c r="A18" s="3" t="s">
        <v>1217</v>
      </c>
      <c r="B18" t="s">
        <v>1218</v>
      </c>
      <c r="D18" s="14"/>
      <c r="F18" s="14"/>
      <c r="H18" s="3">
        <v>1</v>
      </c>
      <c r="J18" s="3">
        <v>1</v>
      </c>
    </row>
    <row r="20" spans="1:10">
      <c r="B20" s="21" t="s">
        <v>60</v>
      </c>
    </row>
    <row r="21" spans="1:10" ht="30" customHeight="1">
      <c r="B21" s="57" t="s">
        <v>1219</v>
      </c>
      <c r="C21" s="57"/>
      <c r="D21" s="57"/>
      <c r="E21" s="57"/>
      <c r="F21" s="57"/>
    </row>
    <row r="23" spans="1:10" ht="25.5">
      <c r="A23" s="3" t="s">
        <v>1220</v>
      </c>
      <c r="B23" t="s">
        <v>1221</v>
      </c>
      <c r="D23" s="14"/>
      <c r="F23" s="14"/>
      <c r="H23" s="3">
        <v>2</v>
      </c>
      <c r="J23" s="3">
        <v>1</v>
      </c>
    </row>
    <row r="25" spans="1:10">
      <c r="B25" s="21" t="s">
        <v>60</v>
      </c>
    </row>
    <row r="26" spans="1:10" ht="45" customHeight="1">
      <c r="B26" s="57" t="s">
        <v>1222</v>
      </c>
      <c r="C26" s="57"/>
      <c r="D26" s="57"/>
      <c r="E26" s="57"/>
      <c r="F26" s="57"/>
    </row>
    <row r="28" spans="1:10">
      <c r="A28" s="3" t="s">
        <v>1223</v>
      </c>
      <c r="B28" t="s">
        <v>1224</v>
      </c>
      <c r="D28" s="14"/>
      <c r="F28" s="14"/>
      <c r="H28" s="3">
        <v>2</v>
      </c>
      <c r="J28" s="3">
        <v>2</v>
      </c>
    </row>
    <row r="30" spans="1:10">
      <c r="B30" s="21" t="s">
        <v>60</v>
      </c>
    </row>
    <row r="31" spans="1:10" ht="45" customHeight="1">
      <c r="B31" s="57" t="s">
        <v>1225</v>
      </c>
      <c r="C31" s="57"/>
      <c r="D31" s="57"/>
      <c r="E31" s="57"/>
      <c r="F31" s="57"/>
    </row>
    <row r="33" spans="1:10" ht="25.5">
      <c r="A33" s="3" t="s">
        <v>1226</v>
      </c>
      <c r="B33" t="s">
        <v>1227</v>
      </c>
      <c r="D33" s="14"/>
      <c r="F33" s="14"/>
      <c r="H33" s="3">
        <v>2</v>
      </c>
      <c r="J33" s="3">
        <v>2</v>
      </c>
    </row>
    <row r="35" spans="1:10">
      <c r="B35" s="21" t="s">
        <v>60</v>
      </c>
    </row>
    <row r="36" spans="1:10" ht="15" customHeight="1">
      <c r="B36" s="57" t="s">
        <v>1228</v>
      </c>
      <c r="C36" s="57"/>
      <c r="D36" s="57"/>
      <c r="E36" s="57"/>
      <c r="F36" s="57"/>
    </row>
    <row r="38" spans="1:10" ht="25.5">
      <c r="A38" s="3" t="s">
        <v>1229</v>
      </c>
      <c r="B38" t="s">
        <v>1230</v>
      </c>
      <c r="D38" s="14"/>
      <c r="F38" s="14"/>
      <c r="H38" s="3">
        <v>2</v>
      </c>
      <c r="J38" s="3">
        <v>2</v>
      </c>
    </row>
    <row r="40" spans="1:10">
      <c r="B40" s="21" t="s">
        <v>60</v>
      </c>
    </row>
    <row r="41" spans="1:10" ht="30" customHeight="1">
      <c r="B41" s="57" t="s">
        <v>1231</v>
      </c>
      <c r="C41" s="57"/>
      <c r="D41" s="57"/>
      <c r="E41" s="57"/>
      <c r="F41" s="57"/>
    </row>
    <row r="43" spans="1:10" ht="25.5">
      <c r="A43" s="3" t="s">
        <v>1232</v>
      </c>
      <c r="B43" t="s">
        <v>1233</v>
      </c>
      <c r="D43" s="14"/>
      <c r="F43" s="14"/>
      <c r="H43" s="3">
        <v>2</v>
      </c>
      <c r="J43" s="3">
        <v>2</v>
      </c>
    </row>
    <row r="45" spans="1:10">
      <c r="B45" s="21" t="s">
        <v>60</v>
      </c>
    </row>
    <row r="46" spans="1:10" ht="30" customHeight="1">
      <c r="B46" s="57" t="s">
        <v>1234</v>
      </c>
      <c r="C46" s="57"/>
      <c r="D46" s="57"/>
      <c r="E46" s="57"/>
      <c r="F46" s="57"/>
    </row>
    <row r="48" spans="1:10" ht="25.5">
      <c r="A48" s="3" t="s">
        <v>1235</v>
      </c>
      <c r="B48" t="s">
        <v>1236</v>
      </c>
      <c r="D48" s="14"/>
      <c r="F48" s="14"/>
      <c r="H48" s="3">
        <v>2</v>
      </c>
      <c r="J48" s="3">
        <v>2</v>
      </c>
    </row>
    <row r="50" spans="1:10">
      <c r="B50" s="21" t="s">
        <v>60</v>
      </c>
    </row>
    <row r="51" spans="1:10" ht="75" customHeight="1">
      <c r="B51" s="57" t="s">
        <v>1237</v>
      </c>
      <c r="C51" s="57"/>
      <c r="D51" s="57"/>
      <c r="E51" s="57"/>
      <c r="F51" s="57"/>
    </row>
    <row r="53" spans="1:10" ht="25.5">
      <c r="A53" s="3" t="s">
        <v>1238</v>
      </c>
      <c r="B53" t="s">
        <v>1239</v>
      </c>
      <c r="D53" s="14"/>
      <c r="F53" s="14"/>
      <c r="H53" s="3">
        <v>2</v>
      </c>
      <c r="J53" s="3">
        <v>2</v>
      </c>
    </row>
    <row r="55" spans="1:10">
      <c r="B55" s="21" t="s">
        <v>60</v>
      </c>
    </row>
    <row r="56" spans="1:10" ht="15" customHeight="1">
      <c r="B56" s="57" t="s">
        <v>1240</v>
      </c>
      <c r="C56" s="57"/>
      <c r="D56" s="57"/>
      <c r="E56" s="57"/>
      <c r="F56" s="57"/>
    </row>
    <row r="58" spans="1:10" ht="25.5">
      <c r="A58" s="3" t="s">
        <v>1241</v>
      </c>
      <c r="B58" t="s">
        <v>1242</v>
      </c>
      <c r="D58" s="14"/>
      <c r="F58" s="14"/>
      <c r="H58" s="3">
        <v>3</v>
      </c>
      <c r="J58" s="3">
        <v>3</v>
      </c>
    </row>
    <row r="60" spans="1:10">
      <c r="B60" s="21" t="s">
        <v>60</v>
      </c>
    </row>
    <row r="61" spans="1:10" ht="45" customHeight="1">
      <c r="B61" s="57" t="s">
        <v>1243</v>
      </c>
      <c r="C61" s="57"/>
      <c r="D61" s="57"/>
      <c r="E61" s="57"/>
      <c r="F61" s="57"/>
    </row>
    <row r="63" spans="1:10" ht="25.5">
      <c r="A63" s="3" t="s">
        <v>1244</v>
      </c>
      <c r="B63" t="s">
        <v>1245</v>
      </c>
      <c r="D63" s="14"/>
      <c r="F63" s="14"/>
      <c r="H63" s="3">
        <v>3</v>
      </c>
      <c r="J63" s="3">
        <v>2</v>
      </c>
    </row>
    <row r="65" spans="1:10">
      <c r="B65" s="21" t="s">
        <v>60</v>
      </c>
    </row>
    <row r="66" spans="1:10" ht="15" customHeight="1">
      <c r="B66" s="57" t="s">
        <v>1246</v>
      </c>
      <c r="C66" s="57"/>
      <c r="D66" s="57"/>
      <c r="E66" s="57"/>
      <c r="F66" s="57"/>
    </row>
    <row r="68" spans="1:10" ht="25.5">
      <c r="A68" s="3" t="s">
        <v>1247</v>
      </c>
      <c r="B68" t="s">
        <v>1248</v>
      </c>
      <c r="D68" s="14"/>
      <c r="F68" s="14"/>
      <c r="H68" s="3">
        <v>3</v>
      </c>
      <c r="J68" s="3">
        <v>3</v>
      </c>
    </row>
    <row r="70" spans="1:10">
      <c r="B70" s="21" t="s">
        <v>60</v>
      </c>
    </row>
    <row r="71" spans="1:10" ht="30" customHeight="1">
      <c r="B71" s="57" t="s">
        <v>1249</v>
      </c>
      <c r="C71" s="57"/>
      <c r="D71" s="57"/>
      <c r="E71" s="57"/>
      <c r="F71" s="57"/>
    </row>
    <row r="73" spans="1:10" ht="25.5">
      <c r="A73" s="3" t="s">
        <v>1250</v>
      </c>
      <c r="B73" t="s">
        <v>1251</v>
      </c>
      <c r="D73" s="14"/>
      <c r="F73" s="14"/>
      <c r="H73" s="3">
        <v>3</v>
      </c>
      <c r="J73" s="3">
        <v>3</v>
      </c>
    </row>
    <row r="75" spans="1:10">
      <c r="B75" s="21" t="s">
        <v>60</v>
      </c>
    </row>
    <row r="76" spans="1:10" ht="30" customHeight="1">
      <c r="B76" s="57" t="s">
        <v>1252</v>
      </c>
      <c r="C76" s="57"/>
      <c r="D76" s="57"/>
      <c r="E76" s="57"/>
      <c r="F76" s="57"/>
    </row>
    <row r="78" spans="1:10" ht="25.5">
      <c r="A78" s="3" t="s">
        <v>1253</v>
      </c>
      <c r="B78" t="s">
        <v>1254</v>
      </c>
      <c r="D78" s="14"/>
      <c r="F78" s="14"/>
      <c r="H78" s="3">
        <v>3</v>
      </c>
      <c r="J78" s="3">
        <v>3</v>
      </c>
    </row>
    <row r="80" spans="1:10">
      <c r="B80" s="21" t="s">
        <v>60</v>
      </c>
    </row>
    <row r="81" spans="1:10" ht="45" customHeight="1">
      <c r="B81" s="57" t="s">
        <v>1255</v>
      </c>
      <c r="C81" s="57"/>
      <c r="D81" s="57"/>
      <c r="E81" s="57"/>
      <c r="F81" s="57"/>
    </row>
    <row r="83" spans="1:10" ht="25.5">
      <c r="A83" s="3" t="s">
        <v>1256</v>
      </c>
      <c r="B83" t="s">
        <v>1257</v>
      </c>
      <c r="D83" s="14"/>
      <c r="F83" s="14"/>
      <c r="H83" s="3">
        <v>3</v>
      </c>
      <c r="J83" s="3">
        <v>3</v>
      </c>
    </row>
    <row r="85" spans="1:10">
      <c r="B85" s="21" t="s">
        <v>60</v>
      </c>
    </row>
    <row r="86" spans="1:10" ht="30" customHeight="1">
      <c r="B86" s="57" t="s">
        <v>1258</v>
      </c>
      <c r="C86" s="57"/>
      <c r="D86" s="57"/>
      <c r="E86" s="57"/>
      <c r="F86" s="57"/>
    </row>
    <row r="87" spans="1:10">
      <c r="A87" s="9" t="s">
        <v>1259</v>
      </c>
      <c r="B87" s="8" t="s">
        <v>1260</v>
      </c>
      <c r="C87" s="8"/>
      <c r="D87" s="8"/>
      <c r="E87" s="8"/>
      <c r="F87" s="8"/>
      <c r="G87" s="8"/>
      <c r="H87" s="8"/>
      <c r="I87" s="8"/>
      <c r="J87" s="8"/>
    </row>
    <row r="88" spans="1:10">
      <c r="A88" s="3" t="s">
        <v>1261</v>
      </c>
      <c r="B88" t="s">
        <v>1262</v>
      </c>
      <c r="D88" s="14"/>
      <c r="F88" s="14"/>
      <c r="H88" s="3">
        <v>2</v>
      </c>
      <c r="J88" s="3">
        <v>1</v>
      </c>
    </row>
    <row r="90" spans="1:10">
      <c r="B90" s="21" t="s">
        <v>60</v>
      </c>
    </row>
    <row r="91" spans="1:10" ht="210" customHeight="1">
      <c r="B91" s="57" t="s">
        <v>1263</v>
      </c>
      <c r="C91" s="57"/>
      <c r="D91" s="57"/>
      <c r="E91" s="57"/>
      <c r="F91" s="57"/>
    </row>
    <row r="92" spans="1:10">
      <c r="F92" s="10" t="s">
        <v>150</v>
      </c>
    </row>
  </sheetData>
  <sheetProtection algorithmName="SHA-1" hashValue="NfTjaKEoJ1poIeeNwhRDzi8ejx8=" saltValue="8xeZAR+/E/M9x3fA38T3vA==" spinCount="100000" sheet="1" objects="1" scenarios="1"/>
  <mergeCells count="17">
    <mergeCell ref="B31:F31"/>
    <mergeCell ref="B26:F26"/>
    <mergeCell ref="B21:F21"/>
    <mergeCell ref="B16:F16"/>
    <mergeCell ref="B11:F11"/>
    <mergeCell ref="B36:F36"/>
    <mergeCell ref="B91:F91"/>
    <mergeCell ref="B86:F86"/>
    <mergeCell ref="B81:F81"/>
    <mergeCell ref="B76:F76"/>
    <mergeCell ref="B71:F71"/>
    <mergeCell ref="B66:F66"/>
    <mergeCell ref="B61:F61"/>
    <mergeCell ref="B56:F56"/>
    <mergeCell ref="B51:F51"/>
    <mergeCell ref="B46:F46"/>
    <mergeCell ref="B41:F41"/>
  </mergeCells>
  <dataValidations count="3">
    <dataValidation type="list" allowBlank="1" showInputMessage="1" showErrorMessage="1" sqref="D23 D28 D33 D38 D43 D48 D53 D58 D63 D68 D73 D78 D83" xr:uid="{10BDC035-D4C6-AF4B-ACA3-B4B1D7BBBB36}">
      <formula1>Response_MIL23</formula1>
    </dataValidation>
    <dataValidation type="list" allowBlank="1" showInputMessage="1" showErrorMessage="1" sqref="D88" xr:uid="{AF2A4609-1BD9-6549-82D5-73567822A434}">
      <formula1>AntiPattern</formula1>
    </dataValidation>
    <dataValidation type="list" allowBlank="1" showInputMessage="1" showErrorMessage="1" sqref="D18 D13 D8" xr:uid="{55A43B4D-7A8E-1443-A4D8-09D9EF465EFF}">
      <formula1>Response_MIL1</formula1>
    </dataValidation>
  </dataValidations>
  <hyperlinks>
    <hyperlink ref="A1" location="Home!G14" tooltip="Click here to return Home" display="Home" xr:uid="{7B3D3FDD-1954-064F-9AC3-9A4CBFC58FD1}"/>
    <hyperlink ref="F92" location="APM!D12" tooltip="Go to Top" display="Go to Top" xr:uid="{A647BE91-BAF1-E240-B7E6-4FACDB98F12A}"/>
  </hyperlinks>
  <pageMargins left="0.7" right="0.7" top="0.75" bottom="0.75" header="0.3" footer="0.3"/>
  <pageSetup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41">
    <tabColor theme="3" tint="0.39997558519241921"/>
    <pageSetUpPr fitToPage="1"/>
  </sheetPr>
  <dimension ref="A1:O16"/>
  <sheetViews>
    <sheetView tabSelected="1" zoomScale="120" zoomScaleNormal="120" workbookViewId="0">
      <selection activeCell="D13" sqref="D13"/>
    </sheetView>
  </sheetViews>
  <sheetFormatPr defaultColWidth="11" defaultRowHeight="12.75"/>
  <cols>
    <col min="1" max="1" width="11" customWidth="1"/>
    <col min="2" max="2" width="3" customWidth="1"/>
    <col min="3" max="15" width="23" customWidth="1"/>
    <col min="16" max="78" width="5.7109375" customWidth="1"/>
  </cols>
  <sheetData>
    <row r="1" spans="1:15">
      <c r="A1" s="10" t="s">
        <v>0</v>
      </c>
    </row>
    <row r="3" spans="1:15" ht="49.9" customHeight="1" thickBot="1">
      <c r="C3" s="50" t="s">
        <v>1264</v>
      </c>
      <c r="D3" s="50"/>
      <c r="E3" s="50"/>
      <c r="G3" s="50" t="s">
        <v>1265</v>
      </c>
      <c r="H3" s="50"/>
    </row>
    <row r="4" spans="1:15" ht="13.9" customHeight="1" thickTop="1"/>
    <row r="5" spans="1:15" ht="75" customHeight="1">
      <c r="G5" s="51" t="str">
        <f>_xlfn.CONCAT("MIL – ",Overall_Maturity_Achieved)</f>
        <v>MIL – 0</v>
      </c>
      <c r="H5" s="51"/>
    </row>
    <row r="6" spans="1:15" ht="13.9" customHeight="1"/>
    <row r="7" spans="1:15" ht="49.9" customHeight="1" thickBot="1">
      <c r="G7" s="59" t="s">
        <v>1266</v>
      </c>
      <c r="H7" s="59"/>
    </row>
    <row r="8" spans="1:15" ht="13.9" customHeight="1" thickTop="1"/>
    <row r="9" spans="1:15" ht="75" customHeight="1">
      <c r="G9" s="52">
        <f>Overall_Maturity_Score</f>
        <v>7.0175438596491224E-2</v>
      </c>
      <c r="H9" s="52"/>
    </row>
    <row r="11" spans="1:15" ht="18" thickBot="1">
      <c r="C11" s="59" t="s">
        <v>1267</v>
      </c>
      <c r="D11" s="59"/>
      <c r="E11" s="59"/>
      <c r="F11" s="59"/>
      <c r="G11" s="59"/>
      <c r="H11" s="59"/>
      <c r="I11" s="59"/>
      <c r="J11" s="59"/>
      <c r="K11" s="59"/>
      <c r="L11" s="59"/>
      <c r="M11" s="59"/>
      <c r="N11" s="59"/>
      <c r="O11" s="59"/>
    </row>
    <row r="12" spans="1:15" ht="13.5" thickTop="1"/>
    <row r="13" spans="1:15" ht="115.15" customHeight="1">
      <c r="B13" s="17" t="s">
        <v>1268</v>
      </c>
      <c r="C13" s="1"/>
      <c r="D13" s="1"/>
      <c r="E13" s="1"/>
      <c r="F13" s="1"/>
      <c r="G13" s="1"/>
      <c r="H13" s="1"/>
      <c r="I13" s="1"/>
      <c r="J13" s="1"/>
      <c r="K13" s="1"/>
      <c r="L13" s="1"/>
      <c r="M13" s="1"/>
      <c r="N13" s="1"/>
      <c r="O13" s="1"/>
    </row>
    <row r="14" spans="1:15" ht="115.15" customHeight="1">
      <c r="B14" s="17" t="s">
        <v>1269</v>
      </c>
      <c r="C14" s="1"/>
      <c r="D14" s="1"/>
      <c r="E14" s="1"/>
      <c r="F14" s="1"/>
      <c r="G14" s="1"/>
      <c r="H14" s="1"/>
      <c r="I14" s="1"/>
      <c r="J14" s="1"/>
      <c r="K14" s="1"/>
      <c r="L14" s="1"/>
      <c r="M14" s="1"/>
      <c r="N14" s="1"/>
      <c r="O14" s="1"/>
    </row>
    <row r="15" spans="1:15" ht="115.15" customHeight="1">
      <c r="B15" s="17" t="s">
        <v>1270</v>
      </c>
      <c r="C15" s="1"/>
      <c r="D15" s="1"/>
      <c r="E15" s="1"/>
      <c r="F15" s="1"/>
      <c r="G15" s="1"/>
      <c r="H15" s="1"/>
      <c r="I15" s="1"/>
      <c r="J15" s="1"/>
      <c r="K15" s="1"/>
      <c r="L15" s="1"/>
      <c r="M15" s="1"/>
      <c r="N15" s="1"/>
      <c r="O15" s="1"/>
    </row>
    <row r="16" spans="1:15">
      <c r="C16" s="16" t="s">
        <v>1271</v>
      </c>
      <c r="D16" s="16" t="s">
        <v>1272</v>
      </c>
      <c r="E16" s="16" t="s">
        <v>1273</v>
      </c>
      <c r="F16" s="16" t="s">
        <v>1274</v>
      </c>
      <c r="G16" s="16" t="s">
        <v>1275</v>
      </c>
      <c r="H16" s="16" t="s">
        <v>1276</v>
      </c>
      <c r="I16" s="16" t="s">
        <v>1277</v>
      </c>
      <c r="J16" s="16" t="s">
        <v>1278</v>
      </c>
      <c r="K16" s="16" t="s">
        <v>1279</v>
      </c>
      <c r="L16" s="16" t="s">
        <v>1280</v>
      </c>
      <c r="M16" s="16" t="s">
        <v>1281</v>
      </c>
      <c r="N16" s="16" t="s">
        <v>1282</v>
      </c>
      <c r="O16" s="16" t="s">
        <v>1283</v>
      </c>
    </row>
  </sheetData>
  <sheetProtection algorithmName="SHA-1" hashValue="8b/WxEbbzqSBuUnRy646/qX7R0I=" saltValue="ZB1J8RSQJ5zFWHwE8xXv9A==" spinCount="100000" sheet="1" objects="1" scenarios="1"/>
  <mergeCells count="6">
    <mergeCell ref="C11:O11"/>
    <mergeCell ref="C3:E3"/>
    <mergeCell ref="G3:H3"/>
    <mergeCell ref="G5:H5"/>
    <mergeCell ref="G7:H7"/>
    <mergeCell ref="G9:H9"/>
  </mergeCells>
  <hyperlinks>
    <hyperlink ref="A1" location="Home!G14" tooltip="Click here to return Home" display="Home" xr:uid="{00000000-0004-0000-0F00-000000000000}"/>
  </hyperlinks>
  <pageMargins left="0.25" right="0.25" top="0.75" bottom="0.75" header="0.3" footer="0.3"/>
  <pageSetup paperSize="9" scale="3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1FDE9-3814-FB44-8FC5-8545821FE147}">
  <sheetPr codeName="Sheet42">
    <tabColor theme="3" tint="0.39997558519241921"/>
  </sheetPr>
  <dimension ref="A1:AC15"/>
  <sheetViews>
    <sheetView zoomScale="120" zoomScaleNormal="120" workbookViewId="0"/>
  </sheetViews>
  <sheetFormatPr defaultColWidth="11.5703125" defaultRowHeight="12.75"/>
  <cols>
    <col min="1" max="1" width="11" customWidth="1"/>
    <col min="2" max="2" width="2" customWidth="1"/>
    <col min="3" max="3" width="16" customWidth="1"/>
    <col min="4" max="4" width="2" customWidth="1"/>
    <col min="5" max="5" width="11" customWidth="1"/>
    <col min="6" max="6" width="2" customWidth="1"/>
    <col min="7" max="7" width="11" customWidth="1"/>
    <col min="8" max="8" width="2" customWidth="1"/>
    <col min="9" max="9" width="11" customWidth="1"/>
    <col min="10" max="10" width="2" customWidth="1"/>
    <col min="11" max="11" width="11" customWidth="1"/>
    <col min="12" max="12" width="2" customWidth="1"/>
    <col min="13" max="13" width="11" customWidth="1"/>
    <col min="14" max="14" width="2" customWidth="1"/>
    <col min="15" max="15" width="11" customWidth="1"/>
    <col min="16" max="16" width="2" customWidth="1"/>
    <col min="17" max="17" width="11" customWidth="1"/>
    <col min="18" max="18" width="2" customWidth="1"/>
    <col min="19" max="19" width="11" customWidth="1"/>
    <col min="20" max="20" width="2" customWidth="1"/>
    <col min="21" max="21" width="11" customWidth="1"/>
    <col min="22" max="22" width="2" customWidth="1"/>
    <col min="23" max="23" width="11" customWidth="1"/>
    <col min="24" max="24" width="2" customWidth="1"/>
    <col min="25" max="25" width="11" customWidth="1"/>
    <col min="26" max="26" width="2" customWidth="1"/>
    <col min="27" max="27" width="11" customWidth="1"/>
    <col min="28" max="28" width="2" customWidth="1"/>
    <col min="29" max="29" width="11" customWidth="1"/>
    <col min="30" max="30" width="2" customWidth="1"/>
  </cols>
  <sheetData>
    <row r="1" spans="1:29">
      <c r="A1" s="10" t="s">
        <v>0</v>
      </c>
    </row>
    <row r="3" spans="1:29" ht="49.9" customHeight="1" thickBot="1">
      <c r="E3" s="50" t="s">
        <v>1284</v>
      </c>
      <c r="F3" s="50"/>
      <c r="G3" s="50"/>
      <c r="H3" s="50"/>
      <c r="I3" s="50"/>
      <c r="K3" s="50" t="s">
        <v>1285</v>
      </c>
      <c r="L3" s="50"/>
      <c r="M3" s="50"/>
      <c r="N3" s="50"/>
      <c r="O3" s="50"/>
    </row>
    <row r="4" spans="1:29" ht="13.5" thickTop="1"/>
    <row r="5" spans="1:29" ht="75" customHeight="1">
      <c r="E5" s="54" t="str">
        <f>_xlfn.CONCAT("SP – ",Security_Profile_Achieved)</f>
        <v>SP – 0</v>
      </c>
      <c r="F5" s="54"/>
      <c r="G5" s="54"/>
      <c r="H5" s="54"/>
      <c r="I5" s="54"/>
      <c r="K5" s="53">
        <f>Security_Profile_Score</f>
        <v>5.6818181818181816E-2</v>
      </c>
      <c r="L5" s="53"/>
      <c r="M5" s="53"/>
      <c r="N5" s="53"/>
      <c r="O5" s="53"/>
    </row>
    <row r="7" spans="1:29" ht="18" thickBot="1">
      <c r="E7" s="59" t="s">
        <v>1286</v>
      </c>
      <c r="F7" s="59"/>
      <c r="G7" s="59"/>
      <c r="H7" s="59"/>
      <c r="I7" s="59"/>
      <c r="J7" s="59"/>
      <c r="K7" s="59"/>
      <c r="L7" s="59"/>
      <c r="M7" s="59"/>
      <c r="N7" s="59"/>
      <c r="O7" s="59"/>
      <c r="P7" s="59"/>
      <c r="Q7" s="59"/>
      <c r="R7" s="59"/>
      <c r="S7" s="59"/>
      <c r="T7" s="59"/>
      <c r="U7" s="59"/>
      <c r="V7" s="59"/>
      <c r="W7" s="59"/>
      <c r="X7" s="59"/>
      <c r="Y7" s="59"/>
      <c r="Z7" s="59"/>
      <c r="AA7" s="59"/>
      <c r="AB7" s="59"/>
      <c r="AC7" s="59"/>
    </row>
    <row r="8" spans="1:29" ht="13.5" thickTop="1"/>
    <row r="9" spans="1:29">
      <c r="E9" s="23" t="s">
        <v>1283</v>
      </c>
      <c r="G9" s="23" t="s">
        <v>1271</v>
      </c>
      <c r="I9" s="23" t="s">
        <v>1273</v>
      </c>
      <c r="K9" s="23" t="s">
        <v>1279</v>
      </c>
      <c r="M9" s="23" t="s">
        <v>1274</v>
      </c>
      <c r="O9" s="23" t="s">
        <v>1272</v>
      </c>
      <c r="Q9" s="23" t="s">
        <v>1276</v>
      </c>
      <c r="S9" s="23" t="s">
        <v>1277</v>
      </c>
      <c r="U9" s="23" t="s">
        <v>1278</v>
      </c>
      <c r="W9" s="23" t="s">
        <v>1280</v>
      </c>
      <c r="Y9" s="23" t="s">
        <v>1281</v>
      </c>
      <c r="AA9" s="23" t="s">
        <v>1275</v>
      </c>
      <c r="AC9" s="23" t="s">
        <v>1287</v>
      </c>
    </row>
    <row r="10" spans="1:29" ht="10.15" customHeight="1"/>
    <row r="11" spans="1:29" ht="49.9" customHeight="1">
      <c r="C11" s="22" t="s">
        <v>1288</v>
      </c>
      <c r="E11" s="26">
        <f>((COUNTIFS(Table_Collate[Security Profile],3,Table_Collate[Complete],1))/(COUNTIFS(Table_Collate[Security Profile],3)))</f>
        <v>8.5365853658536592E-2</v>
      </c>
      <c r="G11" s="26">
        <f>((COUNTIFS(Table_Collate[Anti-Pattern],0,Table_Collate[Domain],"RM",Table_Collate[Security Profile],3,Table_Collate[Complete],1))/(COUNTIFS(Table_Collate[Anti-Pattern],0,Table_Collate[Domain],"RM",Table_Collate[Security Profile],3)))</f>
        <v>0</v>
      </c>
      <c r="I11" s="26">
        <f>((COUNTIFS(Table_Collate[Anti-Pattern],0,Table_Collate[Domain],"ACM",Table_Collate[Security Profile],3,Table_Collate[Complete],1))/(COUNTIFS(Table_Collate[Anti-Pattern],0,Table_Collate[Domain],"ACM",Table_Collate[Security Profile],3)))</f>
        <v>0</v>
      </c>
      <c r="K11" s="26">
        <f>((COUNTIFS(Table_Collate[Anti-Pattern],0,Table_Collate[Domain],"EDM",Table_Collate[Security Profile],3,Table_Collate[Complete],1))/(COUNTIFS(Table_Collate[Anti-Pattern],0,Table_Collate[Domain],"EDM",Table_Collate[Security Profile],3)))</f>
        <v>0</v>
      </c>
      <c r="M11" s="26">
        <f>((COUNTIFS(Table_Collate[Anti-Pattern],0,Table_Collate[Domain],"IAM",Table_Collate[Security Profile],3,Table_Collate[Complete],1))/(COUNTIFS(Table_Collate[Anti-Pattern],0,Table_Collate[Domain],"IAM",Table_Collate[Security Profile],3)))</f>
        <v>0</v>
      </c>
      <c r="O11" s="26">
        <f>((COUNTIFS(Table_Collate[Anti-Pattern],0,Table_Collate[Domain],"CPM",Table_Collate[Security Profile],3,Table_Collate[Complete],1))/(COUNTIFS(Table_Collate[Anti-Pattern],0,Table_Collate[Domain],"CPM",Table_Collate[Security Profile],3)))</f>
        <v>1</v>
      </c>
      <c r="Q11" s="26">
        <f>((COUNTIFS(Table_Collate[Anti-Pattern],0,Table_Collate[Domain],"TVM",Table_Collate[Security Profile],3,Table_Collate[Complete],1))/(COUNTIFS(Table_Collate[Anti-Pattern],0,Table_Collate[Domain],"TVM",Table_Collate[Security Profile],3)))</f>
        <v>0</v>
      </c>
      <c r="S11" s="26">
        <f>((COUNTIFS(Table_Collate[Anti-Pattern],0,Table_Collate[Domain],"SA",Table_Collate[Security Profile],3,Table_Collate[Complete],1))/(COUNTIFS(Table_Collate[Anti-Pattern],0,Table_Collate[Domain],"SA",Table_Collate[Security Profile],3)))</f>
        <v>0</v>
      </c>
      <c r="U11" s="26">
        <f>((COUNTIFS(Table_Collate[Anti-Pattern],0,Table_Collate[Domain],"IR",Table_Collate[Security Profile],3,Table_Collate[Complete],1))/(COUNTIFS(Table_Collate[Anti-Pattern],0,Table_Collate[Domain],"IR",Table_Collate[Security Profile],3)))</f>
        <v>0</v>
      </c>
      <c r="W11" s="26">
        <f>((COUNTIFS(Table_Collate[Anti-Pattern],0,Table_Collate[Domain],"WM",Table_Collate[Security Profile],3,Table_Collate[Complete],1))/(COUNTIFS(Table_Collate[Anti-Pattern],0,Table_Collate[Domain],"WM",Table_Collate[Security Profile],3)))</f>
        <v>0</v>
      </c>
      <c r="Y11" s="26">
        <f>((COUNTIFS(Table_Collate[Anti-Pattern],0,Table_Collate[Domain],"APM",Table_Collate[Security Profile],3,Table_Collate[Complete],1))/(COUNTIFS(Table_Collate[Anti-Pattern],0,Table_Collate[Domain],"APM",Table_Collate[Security Profile],3)))</f>
        <v>0</v>
      </c>
      <c r="AA11" s="26">
        <f>((COUNTIFS(Table_Collate[Anti-Pattern],0,Table_Collate[Domain],"ISC",Table_Collate[Security Profile],3,Table_Collate[Complete],1))/(COUNTIFS(Table_Collate[Anti-Pattern],0,Table_Collate[Domain],"ISC",Table_Collate[Security Profile],3)))</f>
        <v>0</v>
      </c>
      <c r="AC11" s="26">
        <f>((COUNTIFS(Table_Collate[Anti-Pattern],1,Table_Collate[Security Profile],3,Table_Collate[Complete],1))/(COUNTIFS(Table_Collate[Anti-Pattern],1,Table_Collate[Security Profile],3)))</f>
        <v>0</v>
      </c>
    </row>
    <row r="12" spans="1:29" ht="10.15" customHeight="1"/>
    <row r="13" spans="1:29" ht="49.9" customHeight="1">
      <c r="C13" s="22" t="s">
        <v>1289</v>
      </c>
      <c r="E13" s="25">
        <f>((COUNTIFS(Table_Collate[Security Profile],2,Table_Collate[Complete],1))/(COUNTIFS(Table_Collate[Security Profile],2)))</f>
        <v>0.13392857142857142</v>
      </c>
      <c r="G13" s="25">
        <f>((COUNTIFS(Table_Collate[Anti-Pattern],0,Table_Collate[Domain],"RM",Table_Collate[Security Profile],2,Table_Collate[Complete],1))/(COUNTIFS(Table_Collate[Anti-Pattern],0,Table_Collate[Domain],"RM",Table_Collate[Security Profile],2)))</f>
        <v>0</v>
      </c>
      <c r="I13" s="25">
        <f>((COUNTIFS(Table_Collate[Anti-Pattern],0,Table_Collate[Domain],"ACM",Table_Collate[Security Profile],2,Table_Collate[Complete],1))/(COUNTIFS(Table_Collate[Anti-Pattern],0,Table_Collate[Domain],"ACM",Table_Collate[Security Profile],2)))</f>
        <v>0</v>
      </c>
      <c r="K13" s="25">
        <f>((COUNTIFS(Table_Collate[Anti-Pattern],0,Table_Collate[Domain],"EDM",Table_Collate[Security Profile],2,Table_Collate[Complete],1))/(COUNTIFS(Table_Collate[Anti-Pattern],0,Table_Collate[Domain],"EDM",Table_Collate[Security Profile],2)))</f>
        <v>0</v>
      </c>
      <c r="M13" s="25">
        <f>((COUNTIFS(Table_Collate[Anti-Pattern],0,Table_Collate[Domain],"IAM",Table_Collate[Security Profile],2,Table_Collate[Complete],1))/(COUNTIFS(Table_Collate[Anti-Pattern],0,Table_Collate[Domain],"IAM",Table_Collate[Security Profile],2)))</f>
        <v>0</v>
      </c>
      <c r="O13" s="25">
        <f>((COUNTIFS(Table_Collate[Anti-Pattern],0,Table_Collate[Domain],"CPM",Table_Collate[Security Profile],2,Table_Collate[Complete],1))/(COUNTIFS(Table_Collate[Anti-Pattern],0,Table_Collate[Domain],"CPM",Table_Collate[Security Profile],2)))</f>
        <v>1</v>
      </c>
      <c r="Q13" s="25">
        <f>((COUNTIFS(Table_Collate[Anti-Pattern],0,Table_Collate[Domain],"TVM",Table_Collate[Security Profile],2,Table_Collate[Complete],1))/(COUNTIFS(Table_Collate[Anti-Pattern],0,Table_Collate[Domain],"TVM",Table_Collate[Security Profile],2)))</f>
        <v>0</v>
      </c>
      <c r="S13" s="25">
        <f>((COUNTIFS(Table_Collate[Anti-Pattern],0,Table_Collate[Domain],"SA",Table_Collate[Security Profile],2,Table_Collate[Complete],1))/(COUNTIFS(Table_Collate[Anti-Pattern],0,Table_Collate[Domain],"SA",Table_Collate[Security Profile],2)))</f>
        <v>0</v>
      </c>
      <c r="U13" s="25">
        <f>((COUNTIFS(Table_Collate[Anti-Pattern],0,Table_Collate[Domain],"IR",Table_Collate[Security Profile],2,Table_Collate[Complete],1))/(COUNTIFS(Table_Collate[Anti-Pattern],0,Table_Collate[Domain],"IR",Table_Collate[Security Profile],2)))</f>
        <v>0</v>
      </c>
      <c r="W13" s="25">
        <f>((COUNTIFS(Table_Collate[Anti-Pattern],0,Table_Collate[Domain],"WM",Table_Collate[Security Profile],2,Table_Collate[Complete],1))/(COUNTIFS(Table_Collate[Anti-Pattern],0,Table_Collate[Domain],"WM",Table_Collate[Security Profile],2)))</f>
        <v>0</v>
      </c>
      <c r="Y13" s="25">
        <f>((COUNTIFS(Table_Collate[Anti-Pattern],0,Table_Collate[Domain],"APM",Table_Collate[Security Profile],2,Table_Collate[Complete],1))/(COUNTIFS(Table_Collate[Anti-Pattern],0,Table_Collate[Domain],"APM",Table_Collate[Security Profile],2)))</f>
        <v>0</v>
      </c>
      <c r="AA13" s="25">
        <f>((COUNTIFS(Table_Collate[Anti-Pattern],0,Table_Collate[Domain],"ISC",Table_Collate[Security Profile],2,Table_Collate[Complete],1))/(COUNTIFS(Table_Collate[Anti-Pattern],0,Table_Collate[Domain],"ISC",Table_Collate[Security Profile],2)))</f>
        <v>0</v>
      </c>
      <c r="AC13" s="25">
        <f>((COUNTIFS(Table_Collate[Anti-Pattern],1,Table_Collate[Security Profile],2,Table_Collate[Complete],1))/(COUNTIFS(Table_Collate[Anti-Pattern],1,Table_Collate[Security Profile],2)))</f>
        <v>4.5454545454545456E-2</v>
      </c>
    </row>
    <row r="14" spans="1:29" ht="10.15" customHeight="1"/>
    <row r="15" spans="1:29" ht="49.9" customHeight="1">
      <c r="C15" s="22" t="s">
        <v>1290</v>
      </c>
      <c r="E15" s="24">
        <f>((COUNTIFS(Table_Collate[Security Profile],1,Table_Collate[Complete],1))/(COUNTIFS(Table_Collate[Security Profile],1)))</f>
        <v>5.6818181818181816E-2</v>
      </c>
      <c r="G15" s="24">
        <f>((COUNTIFS(Table_Collate[Anti-Pattern],0,Table_Collate[Domain],"RM",Table_Collate[Security Profile],1,Table_Collate[Complete],1))/(COUNTIFS(Table_Collate[Anti-Pattern],0,Table_Collate[Domain],"RM",Table_Collate[Security Profile],1)))</f>
        <v>0</v>
      </c>
      <c r="I15" s="24">
        <f>((COUNTIFS(Table_Collate[Anti-Pattern],0,Table_Collate[Domain],"ACM",Table_Collate[Security Profile],1,Table_Collate[Complete],1))/(COUNTIFS(Table_Collate[Anti-Pattern],0,Table_Collate[Domain],"ACM",Table_Collate[Security Profile],1)))</f>
        <v>0</v>
      </c>
      <c r="K15" s="24">
        <f>((COUNTIFS(Table_Collate[Anti-Pattern],0,Table_Collate[Domain],"EDM",Table_Collate[Security Profile],1,Table_Collate[Complete],1))/(COUNTIFS(Table_Collate[Anti-Pattern],0,Table_Collate[Domain],"EDM",Table_Collate[Security Profile],1)))</f>
        <v>0</v>
      </c>
      <c r="M15" s="24">
        <f>((COUNTIFS(Table_Collate[Anti-Pattern],0,Table_Collate[Domain],"IAM",Table_Collate[Security Profile],1,Table_Collate[Complete],1))/(COUNTIFS(Table_Collate[Anti-Pattern],0,Table_Collate[Domain],"IAM",Table_Collate[Security Profile],1)))</f>
        <v>0</v>
      </c>
      <c r="O15" s="24">
        <f>((COUNTIFS(Table_Collate[Anti-Pattern],0,Table_Collate[Domain],"CPM",Table_Collate[Security Profile],1,Table_Collate[Complete],1))/(COUNTIFS(Table_Collate[Anti-Pattern],0,Table_Collate[Domain],"CPM",Table_Collate[Security Profile],1)))</f>
        <v>1</v>
      </c>
      <c r="Q15" s="24">
        <f>((COUNTIFS(Table_Collate[Anti-Pattern],0,Table_Collate[Domain],"TVM",Table_Collate[Security Profile],1,Table_Collate[Complete],1))/(COUNTIFS(Table_Collate[Anti-Pattern],0,Table_Collate[Domain],"TVM",Table_Collate[Security Profile],1)))</f>
        <v>0</v>
      </c>
      <c r="S15" s="24">
        <f>((COUNTIFS(Table_Collate[Anti-Pattern],0,Table_Collate[Domain],"SA",Table_Collate[Security Profile],1,Table_Collate[Complete],1))/(COUNTIFS(Table_Collate[Anti-Pattern],0,Table_Collate[Domain],"SA",Table_Collate[Security Profile],1)))</f>
        <v>0</v>
      </c>
      <c r="U15" s="24">
        <f>((COUNTIFS(Table_Collate[Anti-Pattern],0,Table_Collate[Domain],"IR",Table_Collate[Security Profile],1,Table_Collate[Complete],1))/(COUNTIFS(Table_Collate[Anti-Pattern],0,Table_Collate[Domain],"IR",Table_Collate[Security Profile],1)))</f>
        <v>0</v>
      </c>
      <c r="W15" s="24">
        <f>((COUNTIFS(Table_Collate[Anti-Pattern],0,Table_Collate[Domain],"WM",Table_Collate[Security Profile],1,Table_Collate[Complete],1))/(COUNTIFS(Table_Collate[Anti-Pattern],0,Table_Collate[Domain],"WM",Table_Collate[Security Profile],1)))</f>
        <v>0</v>
      </c>
      <c r="Y15" s="24">
        <f>((COUNTIFS(Table_Collate[Anti-Pattern],0,Table_Collate[Domain],"APM",Table_Collate[Security Profile],1,Table_Collate[Complete],1))/(COUNTIFS(Table_Collate[Anti-Pattern],0,Table_Collate[Domain],"APM",Table_Collate[Security Profile],1)))</f>
        <v>0</v>
      </c>
      <c r="AA15" s="24">
        <f>((COUNTIFS(Table_Collate[Anti-Pattern],0,Table_Collate[Domain],"ISC",Table_Collate[Security Profile],1,Table_Collate[Complete],1))/(COUNTIFS(Table_Collate[Anti-Pattern],0,Table_Collate[Domain],"ISC",Table_Collate[Security Profile],1)))</f>
        <v>0</v>
      </c>
      <c r="AC15" s="24">
        <f>((COUNTIFS(Table_Collate[Anti-Pattern],1,Table_Collate[Security Profile],1,Table_Collate[Complete],1))/(COUNTIFS(Table_Collate[Anti-Pattern],1,Table_Collate[Security Profile],1)))</f>
        <v>7.1428571428571425E-2</v>
      </c>
    </row>
  </sheetData>
  <sheetProtection algorithmName="SHA-1" hashValue="leYh+y2AC9jqbcEspcsQv2mR33E=" saltValue="14ddPN576uP8TdHG+Vbj1Q==" spinCount="100000" sheet="1" objects="1" scenarios="1"/>
  <mergeCells count="5">
    <mergeCell ref="K3:O3"/>
    <mergeCell ref="K5:O5"/>
    <mergeCell ref="E3:I3"/>
    <mergeCell ref="E7:AC7"/>
    <mergeCell ref="E5:I5"/>
  </mergeCells>
  <hyperlinks>
    <hyperlink ref="A1" location="Home!G14" tooltip="Click here to return Home" display="Home" xr:uid="{25D8EAC8-2ED4-AE48-A1E3-4AB7C1F57395}"/>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0">
    <tabColor theme="3" tint="0.79998168889431442"/>
  </sheetPr>
  <dimension ref="A1:C164"/>
  <sheetViews>
    <sheetView zoomScale="120" zoomScaleNormal="120" workbookViewId="0">
      <pane ySplit="5" topLeftCell="A6" activePane="bottomLeft" state="frozen"/>
      <selection pane="bottomLeft" activeCell="A6" sqref="A6"/>
      <selection activeCell="D12" sqref="D12"/>
    </sheetView>
  </sheetViews>
  <sheetFormatPr defaultColWidth="11" defaultRowHeight="12.75"/>
  <cols>
    <col min="1" max="1" width="56.7109375" customWidth="1"/>
    <col min="2" max="2" width="81.42578125" customWidth="1"/>
    <col min="3" max="3" width="76.5703125" customWidth="1"/>
    <col min="4" max="4" width="1.7109375" customWidth="1"/>
  </cols>
  <sheetData>
    <row r="1" spans="1:3">
      <c r="A1" s="10" t="s">
        <v>0</v>
      </c>
    </row>
    <row r="3" spans="1:3" ht="20.25" thickBot="1">
      <c r="A3" s="15" t="s">
        <v>45</v>
      </c>
    </row>
    <row r="4" spans="1:3" ht="13.5" thickTop="1"/>
    <row r="5" spans="1:3">
      <c r="A5" t="s">
        <v>1291</v>
      </c>
      <c r="B5" t="s">
        <v>1292</v>
      </c>
      <c r="C5" t="s">
        <v>1293</v>
      </c>
    </row>
    <row r="6" spans="1:3" ht="38.25">
      <c r="A6" t="s">
        <v>1294</v>
      </c>
      <c r="B6" t="s">
        <v>1295</v>
      </c>
      <c r="C6" t="s">
        <v>1296</v>
      </c>
    </row>
    <row r="7" spans="1:3" ht="25.5">
      <c r="A7" t="s">
        <v>1297</v>
      </c>
      <c r="B7" t="s">
        <v>1298</v>
      </c>
      <c r="C7" t="s">
        <v>1296</v>
      </c>
    </row>
    <row r="8" spans="1:3" ht="25.5">
      <c r="A8" t="s">
        <v>1299</v>
      </c>
      <c r="B8" t="s">
        <v>1300</v>
      </c>
      <c r="C8" t="s">
        <v>1301</v>
      </c>
    </row>
    <row r="9" spans="1:3" ht="127.5">
      <c r="A9" t="s">
        <v>1302</v>
      </c>
      <c r="B9" t="s">
        <v>1303</v>
      </c>
      <c r="C9" t="s">
        <v>1304</v>
      </c>
    </row>
    <row r="10" spans="1:3" ht="38.25">
      <c r="A10" t="s">
        <v>1305</v>
      </c>
      <c r="B10" t="s">
        <v>1306</v>
      </c>
      <c r="C10" t="s">
        <v>1307</v>
      </c>
    </row>
    <row r="11" spans="1:3">
      <c r="A11" t="s">
        <v>1308</v>
      </c>
      <c r="B11" t="s">
        <v>1309</v>
      </c>
      <c r="C11" t="s">
        <v>1310</v>
      </c>
    </row>
    <row r="12" spans="1:3">
      <c r="A12" t="s">
        <v>1311</v>
      </c>
      <c r="B12" t="s">
        <v>1312</v>
      </c>
      <c r="C12" t="s">
        <v>1310</v>
      </c>
    </row>
    <row r="13" spans="1:3" ht="51">
      <c r="A13" t="s">
        <v>1313</v>
      </c>
      <c r="B13" t="s">
        <v>1314</v>
      </c>
      <c r="C13" t="s">
        <v>1304</v>
      </c>
    </row>
    <row r="14" spans="1:3" ht="25.5">
      <c r="A14" t="s">
        <v>1315</v>
      </c>
      <c r="B14" t="s">
        <v>1316</v>
      </c>
      <c r="C14" t="s">
        <v>1317</v>
      </c>
    </row>
    <row r="15" spans="1:3" ht="51">
      <c r="A15" t="s">
        <v>1318</v>
      </c>
      <c r="B15" t="s">
        <v>1319</v>
      </c>
      <c r="C15" t="s">
        <v>1320</v>
      </c>
    </row>
    <row r="16" spans="1:3" ht="38.25">
      <c r="A16" t="s">
        <v>1321</v>
      </c>
      <c r="B16" t="s">
        <v>1322</v>
      </c>
      <c r="C16" t="s">
        <v>1323</v>
      </c>
    </row>
    <row r="17" spans="1:3" ht="25.5">
      <c r="A17" t="s">
        <v>1324</v>
      </c>
      <c r="B17" t="s">
        <v>1325</v>
      </c>
      <c r="C17" t="s">
        <v>1326</v>
      </c>
    </row>
    <row r="18" spans="1:3" ht="25.5">
      <c r="A18" t="s">
        <v>1327</v>
      </c>
      <c r="B18" t="s">
        <v>1328</v>
      </c>
      <c r="C18" t="s">
        <v>1329</v>
      </c>
    </row>
    <row r="19" spans="1:3" ht="25.5">
      <c r="A19" t="s">
        <v>1330</v>
      </c>
      <c r="B19" t="s">
        <v>1331</v>
      </c>
      <c r="C19" t="s">
        <v>1332</v>
      </c>
    </row>
    <row r="20" spans="1:3" ht="38.25">
      <c r="A20" t="s">
        <v>1333</v>
      </c>
      <c r="B20" t="s">
        <v>1334</v>
      </c>
      <c r="C20" t="s">
        <v>1335</v>
      </c>
    </row>
    <row r="21" spans="1:3">
      <c r="A21" t="s">
        <v>1336</v>
      </c>
      <c r="B21" t="s">
        <v>1337</v>
      </c>
      <c r="C21" t="s">
        <v>1338</v>
      </c>
    </row>
    <row r="22" spans="1:3" ht="25.5">
      <c r="A22" t="s">
        <v>1339</v>
      </c>
      <c r="B22" t="s">
        <v>1340</v>
      </c>
      <c r="C22" t="s">
        <v>1317</v>
      </c>
    </row>
    <row r="23" spans="1:3" ht="165.75">
      <c r="A23" t="s">
        <v>1341</v>
      </c>
      <c r="B23" t="s">
        <v>1342</v>
      </c>
      <c r="C23" t="s">
        <v>1338</v>
      </c>
    </row>
    <row r="24" spans="1:3" ht="63.75">
      <c r="A24" t="s">
        <v>1343</v>
      </c>
      <c r="B24" t="s">
        <v>1344</v>
      </c>
      <c r="C24" t="s">
        <v>1345</v>
      </c>
    </row>
    <row r="25" spans="1:3" ht="38.25">
      <c r="A25" t="s">
        <v>1346</v>
      </c>
      <c r="B25" t="s">
        <v>1347</v>
      </c>
      <c r="C25" t="s">
        <v>1348</v>
      </c>
    </row>
    <row r="26" spans="1:3" ht="51">
      <c r="A26" t="s">
        <v>1349</v>
      </c>
      <c r="B26" t="s">
        <v>1350</v>
      </c>
      <c r="C26" t="s">
        <v>1351</v>
      </c>
    </row>
    <row r="27" spans="1:3" ht="38.25">
      <c r="A27" t="s">
        <v>1352</v>
      </c>
      <c r="B27" t="s">
        <v>1353</v>
      </c>
      <c r="C27" t="s">
        <v>1354</v>
      </c>
    </row>
    <row r="28" spans="1:3" ht="51">
      <c r="A28" t="s">
        <v>1355</v>
      </c>
      <c r="B28" t="s">
        <v>1356</v>
      </c>
      <c r="C28" t="s">
        <v>1357</v>
      </c>
    </row>
    <row r="29" spans="1:3" ht="51">
      <c r="A29" t="s">
        <v>1358</v>
      </c>
      <c r="B29" t="s">
        <v>1359</v>
      </c>
      <c r="C29" t="s">
        <v>1360</v>
      </c>
    </row>
    <row r="30" spans="1:3" ht="38.25">
      <c r="A30" t="s">
        <v>1361</v>
      </c>
      <c r="B30" t="s">
        <v>1362</v>
      </c>
      <c r="C30" t="s">
        <v>1326</v>
      </c>
    </row>
    <row r="31" spans="1:3" ht="25.5">
      <c r="A31" t="s">
        <v>1363</v>
      </c>
      <c r="B31" t="s">
        <v>1364</v>
      </c>
      <c r="C31" t="s">
        <v>1365</v>
      </c>
    </row>
    <row r="32" spans="1:3" ht="25.5">
      <c r="A32" t="s">
        <v>1366</v>
      </c>
      <c r="B32" t="s">
        <v>1367</v>
      </c>
      <c r="C32" t="s">
        <v>1368</v>
      </c>
    </row>
    <row r="33" spans="1:3">
      <c r="A33" t="s">
        <v>1369</v>
      </c>
      <c r="B33" t="s">
        <v>1370</v>
      </c>
      <c r="C33" t="s">
        <v>1338</v>
      </c>
    </row>
    <row r="34" spans="1:3" ht="51">
      <c r="A34" t="s">
        <v>1371</v>
      </c>
      <c r="B34" t="s">
        <v>1372</v>
      </c>
      <c r="C34" t="s">
        <v>1373</v>
      </c>
    </row>
    <row r="35" spans="1:3" ht="140.25">
      <c r="A35" t="s">
        <v>1374</v>
      </c>
      <c r="B35" t="s">
        <v>1375</v>
      </c>
      <c r="C35" t="s">
        <v>1376</v>
      </c>
    </row>
    <row r="36" spans="1:3" ht="51">
      <c r="A36" t="s">
        <v>1377</v>
      </c>
      <c r="B36" t="s">
        <v>1378</v>
      </c>
      <c r="C36" t="s">
        <v>1304</v>
      </c>
    </row>
    <row r="37" spans="1:3" ht="25.5">
      <c r="A37" t="s">
        <v>1379</v>
      </c>
      <c r="B37" t="s">
        <v>1380</v>
      </c>
      <c r="C37" t="s">
        <v>1338</v>
      </c>
    </row>
    <row r="38" spans="1:3" ht="38.25">
      <c r="A38" t="s">
        <v>1381</v>
      </c>
      <c r="B38" t="s">
        <v>1382</v>
      </c>
      <c r="C38" t="s">
        <v>1326</v>
      </c>
    </row>
    <row r="39" spans="1:3" ht="25.5">
      <c r="A39" t="s">
        <v>1383</v>
      </c>
      <c r="B39" t="s">
        <v>1384</v>
      </c>
      <c r="C39" t="s">
        <v>1385</v>
      </c>
    </row>
    <row r="40" spans="1:3" ht="51">
      <c r="A40" t="s">
        <v>1386</v>
      </c>
      <c r="B40" t="s">
        <v>1387</v>
      </c>
      <c r="C40" t="s">
        <v>1326</v>
      </c>
    </row>
    <row r="41" spans="1:3" ht="25.5">
      <c r="A41" t="s">
        <v>1388</v>
      </c>
      <c r="B41" t="s">
        <v>1389</v>
      </c>
      <c r="C41" t="s">
        <v>1304</v>
      </c>
    </row>
    <row r="42" spans="1:3">
      <c r="A42" t="s">
        <v>1390</v>
      </c>
      <c r="B42" t="s">
        <v>1391</v>
      </c>
      <c r="C42" t="s">
        <v>1304</v>
      </c>
    </row>
    <row r="43" spans="1:3" ht="25.5">
      <c r="A43" t="s">
        <v>1392</v>
      </c>
      <c r="B43" t="s">
        <v>1393</v>
      </c>
      <c r="C43" t="s">
        <v>1326</v>
      </c>
    </row>
    <row r="44" spans="1:3">
      <c r="A44" t="s">
        <v>1394</v>
      </c>
      <c r="B44" t="s">
        <v>1395</v>
      </c>
      <c r="C44" t="s">
        <v>1326</v>
      </c>
    </row>
    <row r="45" spans="1:3" ht="63.75">
      <c r="A45" t="s">
        <v>1396</v>
      </c>
      <c r="B45" t="s">
        <v>1397</v>
      </c>
      <c r="C45" t="s">
        <v>1304</v>
      </c>
    </row>
    <row r="46" spans="1:3" ht="25.5">
      <c r="A46" t="s">
        <v>1398</v>
      </c>
      <c r="B46" t="s">
        <v>1399</v>
      </c>
      <c r="C46" t="s">
        <v>1317</v>
      </c>
    </row>
    <row r="47" spans="1:3" ht="63.75">
      <c r="A47" t="s">
        <v>1400</v>
      </c>
      <c r="B47" t="s">
        <v>1401</v>
      </c>
      <c r="C47" t="s">
        <v>1402</v>
      </c>
    </row>
    <row r="48" spans="1:3">
      <c r="A48" t="s">
        <v>1403</v>
      </c>
      <c r="B48" t="s">
        <v>1404</v>
      </c>
      <c r="C48" t="s">
        <v>1304</v>
      </c>
    </row>
    <row r="49" spans="1:3" ht="38.25">
      <c r="A49" t="s">
        <v>1405</v>
      </c>
      <c r="B49" t="s">
        <v>1406</v>
      </c>
      <c r="C49" t="s">
        <v>1326</v>
      </c>
    </row>
    <row r="50" spans="1:3" ht="25.5">
      <c r="A50" t="s">
        <v>1407</v>
      </c>
      <c r="B50" t="s">
        <v>1408</v>
      </c>
      <c r="C50" t="s">
        <v>1301</v>
      </c>
    </row>
    <row r="51" spans="1:3" ht="25.5">
      <c r="A51" t="s">
        <v>1409</v>
      </c>
      <c r="B51" t="s">
        <v>1410</v>
      </c>
      <c r="C51" t="s">
        <v>1301</v>
      </c>
    </row>
    <row r="52" spans="1:3" ht="76.5">
      <c r="A52" t="s">
        <v>1411</v>
      </c>
      <c r="B52" t="s">
        <v>1412</v>
      </c>
      <c r="C52" t="s">
        <v>1413</v>
      </c>
    </row>
    <row r="53" spans="1:3" ht="25.5">
      <c r="A53" t="s">
        <v>1414</v>
      </c>
      <c r="B53" t="s">
        <v>1415</v>
      </c>
      <c r="C53" t="s">
        <v>1317</v>
      </c>
    </row>
    <row r="54" spans="1:3">
      <c r="A54" t="s">
        <v>1416</v>
      </c>
      <c r="B54" t="s">
        <v>1417</v>
      </c>
      <c r="C54" t="s">
        <v>1418</v>
      </c>
    </row>
    <row r="55" spans="1:3" ht="38.25">
      <c r="A55" t="s">
        <v>112</v>
      </c>
      <c r="B55" t="s">
        <v>1419</v>
      </c>
      <c r="C55" t="s">
        <v>1338</v>
      </c>
    </row>
    <row r="56" spans="1:3">
      <c r="A56" t="s">
        <v>1420</v>
      </c>
      <c r="B56" t="s">
        <v>1421</v>
      </c>
      <c r="C56" t="s">
        <v>1304</v>
      </c>
    </row>
    <row r="57" spans="1:3" ht="51">
      <c r="A57" t="s">
        <v>1422</v>
      </c>
      <c r="B57" t="s">
        <v>1423</v>
      </c>
      <c r="C57" t="s">
        <v>1304</v>
      </c>
    </row>
    <row r="58" spans="1:3" ht="25.5">
      <c r="A58" t="s">
        <v>1424</v>
      </c>
      <c r="B58" t="s">
        <v>1425</v>
      </c>
      <c r="C58" t="s">
        <v>1304</v>
      </c>
    </row>
    <row r="59" spans="1:3" ht="38.25">
      <c r="A59" t="s">
        <v>1426</v>
      </c>
      <c r="B59" t="s">
        <v>1427</v>
      </c>
      <c r="C59" t="s">
        <v>1338</v>
      </c>
    </row>
    <row r="60" spans="1:3" ht="76.5">
      <c r="A60" t="s">
        <v>1428</v>
      </c>
      <c r="B60" t="s">
        <v>1429</v>
      </c>
      <c r="C60" t="s">
        <v>1430</v>
      </c>
    </row>
    <row r="61" spans="1:3" ht="25.5">
      <c r="A61" t="s">
        <v>1431</v>
      </c>
      <c r="B61" t="s">
        <v>1432</v>
      </c>
      <c r="C61" t="s">
        <v>1433</v>
      </c>
    </row>
    <row r="62" spans="1:3" ht="38.25">
      <c r="A62" t="s">
        <v>1434</v>
      </c>
      <c r="B62" t="s">
        <v>1435</v>
      </c>
      <c r="C62" t="s">
        <v>1307</v>
      </c>
    </row>
    <row r="63" spans="1:3" ht="51">
      <c r="A63" t="s">
        <v>1436</v>
      </c>
      <c r="B63" t="s">
        <v>1437</v>
      </c>
      <c r="C63" t="s">
        <v>1438</v>
      </c>
    </row>
    <row r="64" spans="1:3">
      <c r="A64" t="s">
        <v>1439</v>
      </c>
      <c r="B64" t="s">
        <v>1440</v>
      </c>
      <c r="C64" t="s">
        <v>1310</v>
      </c>
    </row>
    <row r="65" spans="1:3" ht="51">
      <c r="A65" t="s">
        <v>1441</v>
      </c>
      <c r="B65" t="s">
        <v>1442</v>
      </c>
      <c r="C65" t="s">
        <v>1317</v>
      </c>
    </row>
    <row r="66" spans="1:3" ht="38.25">
      <c r="A66" t="s">
        <v>1443</v>
      </c>
      <c r="B66" t="s">
        <v>1444</v>
      </c>
      <c r="C66" t="s">
        <v>1445</v>
      </c>
    </row>
    <row r="67" spans="1:3" ht="63.75">
      <c r="A67" t="s">
        <v>1446</v>
      </c>
      <c r="B67" t="s">
        <v>1447</v>
      </c>
      <c r="C67" t="s">
        <v>1304</v>
      </c>
    </row>
    <row r="68" spans="1:3" ht="25.5">
      <c r="A68" t="s">
        <v>1448</v>
      </c>
      <c r="B68" t="s">
        <v>1449</v>
      </c>
      <c r="C68" t="s">
        <v>1450</v>
      </c>
    </row>
    <row r="69" spans="1:3">
      <c r="A69" t="s">
        <v>1451</v>
      </c>
      <c r="B69" t="s">
        <v>1452</v>
      </c>
      <c r="C69" t="s">
        <v>1338</v>
      </c>
    </row>
    <row r="70" spans="1:3" ht="76.5">
      <c r="A70" t="s">
        <v>1453</v>
      </c>
      <c r="B70" t="s">
        <v>1454</v>
      </c>
      <c r="C70" t="s">
        <v>1301</v>
      </c>
    </row>
    <row r="71" spans="1:3" ht="25.5">
      <c r="A71" t="s">
        <v>1455</v>
      </c>
      <c r="B71" t="s">
        <v>1456</v>
      </c>
      <c r="C71" t="s">
        <v>1304</v>
      </c>
    </row>
    <row r="72" spans="1:3" ht="38.25">
      <c r="A72" t="s">
        <v>1457</v>
      </c>
      <c r="B72" t="s">
        <v>1458</v>
      </c>
      <c r="C72" t="s">
        <v>1338</v>
      </c>
    </row>
    <row r="73" spans="1:3" ht="38.25">
      <c r="A73" t="s">
        <v>1459</v>
      </c>
      <c r="B73" t="s">
        <v>1460</v>
      </c>
      <c r="C73" t="s">
        <v>1357</v>
      </c>
    </row>
    <row r="74" spans="1:3">
      <c r="A74" t="s">
        <v>1461</v>
      </c>
      <c r="B74" t="s">
        <v>1462</v>
      </c>
      <c r="C74" t="s">
        <v>1304</v>
      </c>
    </row>
    <row r="75" spans="1:3" ht="51">
      <c r="A75" t="s">
        <v>1463</v>
      </c>
      <c r="B75" t="s">
        <v>1464</v>
      </c>
      <c r="C75" t="s">
        <v>1301</v>
      </c>
    </row>
    <row r="76" spans="1:3" ht="63.75">
      <c r="A76" t="s">
        <v>1465</v>
      </c>
      <c r="B76" t="s">
        <v>1466</v>
      </c>
      <c r="C76" t="s">
        <v>1301</v>
      </c>
    </row>
    <row r="77" spans="1:3" ht="25.5">
      <c r="A77" t="s">
        <v>1467</v>
      </c>
      <c r="B77" t="s">
        <v>1468</v>
      </c>
      <c r="C77" t="s">
        <v>1301</v>
      </c>
    </row>
    <row r="78" spans="1:3" ht="76.5">
      <c r="A78" t="s">
        <v>1469</v>
      </c>
      <c r="B78" t="s">
        <v>1470</v>
      </c>
      <c r="C78" t="s">
        <v>1430</v>
      </c>
    </row>
    <row r="79" spans="1:3" ht="51">
      <c r="A79" t="s">
        <v>1471</v>
      </c>
      <c r="B79" t="s">
        <v>1472</v>
      </c>
      <c r="C79" t="s">
        <v>1326</v>
      </c>
    </row>
    <row r="80" spans="1:3" ht="63.75">
      <c r="A80" t="s">
        <v>1473</v>
      </c>
      <c r="B80" t="s">
        <v>1474</v>
      </c>
      <c r="C80" t="s">
        <v>1304</v>
      </c>
    </row>
    <row r="81" spans="1:3" ht="51">
      <c r="A81" t="s">
        <v>1475</v>
      </c>
      <c r="B81" t="s">
        <v>1476</v>
      </c>
      <c r="C81" t="s">
        <v>1332</v>
      </c>
    </row>
    <row r="82" spans="1:3" ht="25.5">
      <c r="A82" t="s">
        <v>1477</v>
      </c>
      <c r="B82" t="s">
        <v>1478</v>
      </c>
      <c r="C82" t="s">
        <v>1338</v>
      </c>
    </row>
    <row r="83" spans="1:3">
      <c r="A83" t="s">
        <v>1479</v>
      </c>
      <c r="B83" t="s">
        <v>1480</v>
      </c>
      <c r="C83" t="s">
        <v>1338</v>
      </c>
    </row>
    <row r="84" spans="1:3" ht="140.25">
      <c r="A84" t="s">
        <v>1481</v>
      </c>
      <c r="B84" t="s">
        <v>1482</v>
      </c>
      <c r="C84" t="s">
        <v>1483</v>
      </c>
    </row>
    <row r="85" spans="1:3" ht="25.5">
      <c r="A85" t="s">
        <v>1484</v>
      </c>
      <c r="B85" t="s">
        <v>1485</v>
      </c>
      <c r="C85" t="s">
        <v>1338</v>
      </c>
    </row>
    <row r="86" spans="1:3" ht="76.5">
      <c r="A86" t="s">
        <v>1486</v>
      </c>
      <c r="B86" t="s">
        <v>1487</v>
      </c>
      <c r="C86" t="s">
        <v>1304</v>
      </c>
    </row>
    <row r="87" spans="1:3" ht="38.25">
      <c r="A87" t="s">
        <v>1488</v>
      </c>
      <c r="B87" t="s">
        <v>1489</v>
      </c>
      <c r="C87" t="s">
        <v>1490</v>
      </c>
    </row>
    <row r="88" spans="1:3" ht="25.5">
      <c r="A88" t="s">
        <v>1491</v>
      </c>
      <c r="B88" t="s">
        <v>1492</v>
      </c>
      <c r="C88" t="s">
        <v>1493</v>
      </c>
    </row>
    <row r="89" spans="1:3" ht="25.5">
      <c r="A89" t="s">
        <v>1494</v>
      </c>
      <c r="B89" t="s">
        <v>1495</v>
      </c>
      <c r="C89" t="s">
        <v>1304</v>
      </c>
    </row>
    <row r="90" spans="1:3" ht="114.75">
      <c r="A90" t="s">
        <v>1496</v>
      </c>
      <c r="B90" t="s">
        <v>1497</v>
      </c>
      <c r="C90" t="s">
        <v>1304</v>
      </c>
    </row>
    <row r="91" spans="1:3" ht="38.25">
      <c r="A91" t="s">
        <v>1498</v>
      </c>
      <c r="B91" t="s">
        <v>1499</v>
      </c>
      <c r="C91" t="s">
        <v>1500</v>
      </c>
    </row>
    <row r="92" spans="1:3" ht="25.5">
      <c r="A92" t="s">
        <v>1501</v>
      </c>
      <c r="B92" t="s">
        <v>1502</v>
      </c>
      <c r="C92" t="s">
        <v>1317</v>
      </c>
    </row>
    <row r="93" spans="1:3" ht="51">
      <c r="A93" t="s">
        <v>1503</v>
      </c>
      <c r="B93" t="s">
        <v>1504</v>
      </c>
      <c r="C93" t="s">
        <v>1483</v>
      </c>
    </row>
    <row r="94" spans="1:3" ht="25.5">
      <c r="A94" t="s">
        <v>1505</v>
      </c>
      <c r="B94" t="s">
        <v>1506</v>
      </c>
      <c r="C94" t="s">
        <v>1320</v>
      </c>
    </row>
    <row r="95" spans="1:3" ht="38.25">
      <c r="A95" t="s">
        <v>1507</v>
      </c>
      <c r="B95" t="s">
        <v>1508</v>
      </c>
      <c r="C95" t="s">
        <v>1509</v>
      </c>
    </row>
    <row r="96" spans="1:3">
      <c r="A96" t="s">
        <v>1510</v>
      </c>
      <c r="B96" t="s">
        <v>1511</v>
      </c>
      <c r="C96" t="s">
        <v>1338</v>
      </c>
    </row>
    <row r="97" spans="1:3" ht="114.75">
      <c r="A97" t="s">
        <v>1512</v>
      </c>
      <c r="B97" t="s">
        <v>1513</v>
      </c>
      <c r="C97" t="s">
        <v>1304</v>
      </c>
    </row>
    <row r="98" spans="1:3">
      <c r="A98" t="s">
        <v>1514</v>
      </c>
      <c r="B98" t="s">
        <v>1515</v>
      </c>
      <c r="C98" t="s">
        <v>1304</v>
      </c>
    </row>
    <row r="99" spans="1:3" ht="76.5">
      <c r="A99" t="s">
        <v>1516</v>
      </c>
      <c r="B99" t="s">
        <v>1517</v>
      </c>
      <c r="C99" t="s">
        <v>1317</v>
      </c>
    </row>
    <row r="100" spans="1:3" ht="51">
      <c r="A100" t="s">
        <v>1518</v>
      </c>
      <c r="B100" t="s">
        <v>1519</v>
      </c>
      <c r="C100" t="s">
        <v>1301</v>
      </c>
    </row>
    <row r="101" spans="1:3">
      <c r="A101" t="s">
        <v>1520</v>
      </c>
      <c r="B101" t="s">
        <v>1521</v>
      </c>
      <c r="C101" t="s">
        <v>1338</v>
      </c>
    </row>
    <row r="102" spans="1:3" ht="38.25">
      <c r="A102" t="s">
        <v>1522</v>
      </c>
      <c r="B102" t="s">
        <v>1523</v>
      </c>
      <c r="C102" t="s">
        <v>1304</v>
      </c>
    </row>
    <row r="103" spans="1:3" ht="51">
      <c r="A103" t="s">
        <v>1524</v>
      </c>
      <c r="B103" t="s">
        <v>1525</v>
      </c>
      <c r="C103" t="s">
        <v>1402</v>
      </c>
    </row>
    <row r="104" spans="1:3" ht="25.5">
      <c r="A104" t="s">
        <v>1526</v>
      </c>
      <c r="B104" t="s">
        <v>1527</v>
      </c>
      <c r="C104" t="s">
        <v>1528</v>
      </c>
    </row>
    <row r="105" spans="1:3" ht="76.5">
      <c r="A105" t="s">
        <v>1529</v>
      </c>
      <c r="B105" t="s">
        <v>1530</v>
      </c>
      <c r="C105" t="s">
        <v>1531</v>
      </c>
    </row>
    <row r="106" spans="1:3">
      <c r="A106" t="s">
        <v>1532</v>
      </c>
      <c r="B106" t="s">
        <v>1533</v>
      </c>
      <c r="C106" t="s">
        <v>1338</v>
      </c>
    </row>
    <row r="107" spans="1:3" ht="38.25">
      <c r="A107" t="s">
        <v>1534</v>
      </c>
      <c r="B107" t="s">
        <v>1535</v>
      </c>
      <c r="C107" t="s">
        <v>1317</v>
      </c>
    </row>
    <row r="108" spans="1:3" ht="25.5">
      <c r="A108" t="s">
        <v>1536</v>
      </c>
      <c r="B108" t="s">
        <v>1537</v>
      </c>
      <c r="C108" t="s">
        <v>1310</v>
      </c>
    </row>
    <row r="109" spans="1:3" ht="25.5">
      <c r="A109" t="s">
        <v>1538</v>
      </c>
      <c r="B109" t="s">
        <v>1539</v>
      </c>
      <c r="C109" t="s">
        <v>1304</v>
      </c>
    </row>
    <row r="110" spans="1:3" ht="51">
      <c r="A110" t="s">
        <v>1540</v>
      </c>
      <c r="B110" t="s">
        <v>1541</v>
      </c>
      <c r="C110" t="s">
        <v>1304</v>
      </c>
    </row>
    <row r="111" spans="1:3" ht="114.75">
      <c r="A111" t="s">
        <v>1542</v>
      </c>
      <c r="B111" t="s">
        <v>1543</v>
      </c>
      <c r="C111" t="s">
        <v>1304</v>
      </c>
    </row>
    <row r="112" spans="1:3">
      <c r="A112" t="s">
        <v>1544</v>
      </c>
      <c r="B112" t="s">
        <v>1545</v>
      </c>
      <c r="C112" t="s">
        <v>1304</v>
      </c>
    </row>
    <row r="113" spans="1:3">
      <c r="A113" t="s">
        <v>1546</v>
      </c>
      <c r="B113" t="s">
        <v>1547</v>
      </c>
      <c r="C113" t="s">
        <v>1548</v>
      </c>
    </row>
    <row r="114" spans="1:3" ht="25.5">
      <c r="A114" t="s">
        <v>1549</v>
      </c>
      <c r="B114" t="s">
        <v>1550</v>
      </c>
      <c r="C114" t="s">
        <v>1317</v>
      </c>
    </row>
    <row r="115" spans="1:3" ht="25.5">
      <c r="A115" t="s">
        <v>1551</v>
      </c>
      <c r="B115" t="s">
        <v>1552</v>
      </c>
      <c r="C115" t="s">
        <v>1304</v>
      </c>
    </row>
    <row r="116" spans="1:3" ht="25.5">
      <c r="A116" t="s">
        <v>1553</v>
      </c>
      <c r="B116" t="s">
        <v>1554</v>
      </c>
      <c r="C116" t="s">
        <v>1320</v>
      </c>
    </row>
    <row r="117" spans="1:3">
      <c r="A117" t="s">
        <v>1555</v>
      </c>
      <c r="B117" t="s">
        <v>1556</v>
      </c>
      <c r="C117" t="s">
        <v>1338</v>
      </c>
    </row>
    <row r="118" spans="1:3" ht="38.25">
      <c r="A118" t="s">
        <v>1557</v>
      </c>
      <c r="B118" t="s">
        <v>1558</v>
      </c>
      <c r="C118" t="s">
        <v>1326</v>
      </c>
    </row>
    <row r="119" spans="1:3" ht="38.25">
      <c r="A119" t="s">
        <v>1559</v>
      </c>
      <c r="B119" t="s">
        <v>1560</v>
      </c>
      <c r="C119" t="s">
        <v>1301</v>
      </c>
    </row>
    <row r="120" spans="1:3" ht="38.25">
      <c r="A120" t="s">
        <v>1561</v>
      </c>
      <c r="B120" t="s">
        <v>1562</v>
      </c>
      <c r="C120" t="s">
        <v>1326</v>
      </c>
    </row>
    <row r="121" spans="1:3" ht="25.5">
      <c r="A121" t="s">
        <v>1563</v>
      </c>
      <c r="B121" t="s">
        <v>1564</v>
      </c>
      <c r="C121" t="s">
        <v>1304</v>
      </c>
    </row>
    <row r="122" spans="1:3" ht="25.5">
      <c r="A122" t="s">
        <v>1565</v>
      </c>
      <c r="B122" t="s">
        <v>1566</v>
      </c>
      <c r="C122" t="s">
        <v>1567</v>
      </c>
    </row>
    <row r="123" spans="1:3" ht="25.5">
      <c r="A123" t="s">
        <v>1568</v>
      </c>
      <c r="B123" t="s">
        <v>1569</v>
      </c>
      <c r="C123" t="s">
        <v>1317</v>
      </c>
    </row>
    <row r="124" spans="1:3" ht="51">
      <c r="A124" t="s">
        <v>1570</v>
      </c>
      <c r="B124" t="s">
        <v>1571</v>
      </c>
      <c r="C124" t="s">
        <v>1326</v>
      </c>
    </row>
    <row r="125" spans="1:3" ht="25.5">
      <c r="A125" t="s">
        <v>1572</v>
      </c>
      <c r="B125" t="s">
        <v>1573</v>
      </c>
      <c r="C125" t="s">
        <v>1326</v>
      </c>
    </row>
    <row r="126" spans="1:3">
      <c r="A126" t="s">
        <v>1574</v>
      </c>
      <c r="B126" t="s">
        <v>1575</v>
      </c>
      <c r="C126" t="s">
        <v>1326</v>
      </c>
    </row>
    <row r="127" spans="1:3">
      <c r="A127" t="s">
        <v>1576</v>
      </c>
      <c r="B127" t="s">
        <v>1577</v>
      </c>
      <c r="C127" t="s">
        <v>1317</v>
      </c>
    </row>
    <row r="128" spans="1:3" ht="25.5">
      <c r="A128" t="s">
        <v>1578</v>
      </c>
      <c r="B128" t="s">
        <v>1579</v>
      </c>
      <c r="C128" t="s">
        <v>1317</v>
      </c>
    </row>
    <row r="129" spans="1:3">
      <c r="A129" t="s">
        <v>1580</v>
      </c>
      <c r="B129" t="s">
        <v>1581</v>
      </c>
      <c r="C129" t="s">
        <v>1304</v>
      </c>
    </row>
    <row r="130" spans="1:3" ht="25.5">
      <c r="A130" t="s">
        <v>1582</v>
      </c>
      <c r="B130" t="s">
        <v>1583</v>
      </c>
      <c r="C130" t="s">
        <v>1326</v>
      </c>
    </row>
    <row r="131" spans="1:3" ht="51">
      <c r="A131" t="s">
        <v>1584</v>
      </c>
      <c r="B131" t="s">
        <v>1585</v>
      </c>
      <c r="C131" t="s">
        <v>1301</v>
      </c>
    </row>
    <row r="132" spans="1:3" ht="51">
      <c r="A132" t="s">
        <v>1586</v>
      </c>
      <c r="B132" t="s">
        <v>1587</v>
      </c>
      <c r="C132" t="s">
        <v>1357</v>
      </c>
    </row>
    <row r="133" spans="1:3" ht="25.5">
      <c r="A133" t="s">
        <v>1588</v>
      </c>
      <c r="B133" t="s">
        <v>1589</v>
      </c>
      <c r="C133" t="s">
        <v>1338</v>
      </c>
    </row>
    <row r="134" spans="1:3" ht="51">
      <c r="A134" t="s">
        <v>1590</v>
      </c>
      <c r="B134" t="s">
        <v>1591</v>
      </c>
      <c r="C134" t="s">
        <v>1304</v>
      </c>
    </row>
    <row r="135" spans="1:3" ht="127.5">
      <c r="A135" t="s">
        <v>1592</v>
      </c>
      <c r="B135" t="s">
        <v>1593</v>
      </c>
      <c r="C135" t="s">
        <v>1594</v>
      </c>
    </row>
    <row r="136" spans="1:3" ht="38.25">
      <c r="A136" t="s">
        <v>1595</v>
      </c>
      <c r="B136" t="s">
        <v>1596</v>
      </c>
      <c r="C136" t="s">
        <v>1296</v>
      </c>
    </row>
    <row r="137" spans="1:3" ht="25.5">
      <c r="A137" t="s">
        <v>1597</v>
      </c>
      <c r="B137" t="s">
        <v>1598</v>
      </c>
      <c r="C137" t="s">
        <v>1338</v>
      </c>
    </row>
    <row r="138" spans="1:3" ht="127.5">
      <c r="A138" t="s">
        <v>1599</v>
      </c>
      <c r="B138" t="s">
        <v>1600</v>
      </c>
      <c r="C138" t="s">
        <v>1601</v>
      </c>
    </row>
    <row r="139" spans="1:3" ht="63.75">
      <c r="A139" t="s">
        <v>1602</v>
      </c>
      <c r="B139" t="s">
        <v>1603</v>
      </c>
      <c r="C139" t="s">
        <v>1304</v>
      </c>
    </row>
    <row r="140" spans="1:3" ht="63.75">
      <c r="A140" t="s">
        <v>1604</v>
      </c>
      <c r="B140" t="s">
        <v>1605</v>
      </c>
      <c r="C140" t="s">
        <v>1301</v>
      </c>
    </row>
    <row r="141" spans="1:3" ht="25.5">
      <c r="A141" t="s">
        <v>1606</v>
      </c>
      <c r="B141" t="s">
        <v>1607</v>
      </c>
      <c r="C141" t="s">
        <v>1608</v>
      </c>
    </row>
    <row r="142" spans="1:3">
      <c r="A142" t="s">
        <v>1609</v>
      </c>
      <c r="B142" t="s">
        <v>1515</v>
      </c>
      <c r="C142" t="s">
        <v>1304</v>
      </c>
    </row>
    <row r="143" spans="1:3" ht="25.5">
      <c r="A143" t="s">
        <v>1610</v>
      </c>
      <c r="B143" t="s">
        <v>1611</v>
      </c>
      <c r="C143" t="s">
        <v>1317</v>
      </c>
    </row>
    <row r="144" spans="1:3">
      <c r="A144" t="s">
        <v>1612</v>
      </c>
      <c r="B144" t="s">
        <v>1613</v>
      </c>
      <c r="C144" t="s">
        <v>1317</v>
      </c>
    </row>
    <row r="145" spans="1:3" ht="76.5">
      <c r="A145" t="s">
        <v>1614</v>
      </c>
      <c r="B145" t="s">
        <v>1615</v>
      </c>
      <c r="C145" t="s">
        <v>1616</v>
      </c>
    </row>
    <row r="146" spans="1:3" ht="102">
      <c r="A146" t="s">
        <v>1617</v>
      </c>
      <c r="B146" t="s">
        <v>1618</v>
      </c>
      <c r="C146" t="s">
        <v>1619</v>
      </c>
    </row>
    <row r="147" spans="1:3" ht="25.5">
      <c r="A147" t="s">
        <v>1620</v>
      </c>
      <c r="B147" t="s">
        <v>1621</v>
      </c>
      <c r="C147" t="s">
        <v>1338</v>
      </c>
    </row>
    <row r="148" spans="1:3" ht="51">
      <c r="A148" t="s">
        <v>1622</v>
      </c>
      <c r="B148" t="s">
        <v>1623</v>
      </c>
      <c r="C148" t="s">
        <v>1402</v>
      </c>
    </row>
    <row r="149" spans="1:3" ht="25.5">
      <c r="A149" t="s">
        <v>1624</v>
      </c>
      <c r="B149" t="s">
        <v>1625</v>
      </c>
      <c r="C149" t="s">
        <v>1326</v>
      </c>
    </row>
    <row r="150" spans="1:3" ht="51">
      <c r="A150" t="s">
        <v>1626</v>
      </c>
      <c r="B150" t="s">
        <v>1627</v>
      </c>
      <c r="C150" t="s">
        <v>1304</v>
      </c>
    </row>
    <row r="151" spans="1:3" ht="25.5">
      <c r="A151" t="s">
        <v>1628</v>
      </c>
      <c r="B151" t="s">
        <v>1629</v>
      </c>
      <c r="C151" t="s">
        <v>1326</v>
      </c>
    </row>
    <row r="152" spans="1:3" ht="51">
      <c r="A152" t="s">
        <v>1630</v>
      </c>
      <c r="B152" t="s">
        <v>1631</v>
      </c>
      <c r="C152" t="s">
        <v>1304</v>
      </c>
    </row>
    <row r="153" spans="1:3" ht="51">
      <c r="A153" t="s">
        <v>1632</v>
      </c>
      <c r="B153" t="s">
        <v>1633</v>
      </c>
      <c r="C153" t="s">
        <v>1450</v>
      </c>
    </row>
    <row r="154" spans="1:3" ht="25.5">
      <c r="A154" t="s">
        <v>92</v>
      </c>
      <c r="B154" t="s">
        <v>1634</v>
      </c>
      <c r="C154" t="s">
        <v>1338</v>
      </c>
    </row>
    <row r="155" spans="1:3" ht="25.5">
      <c r="A155" t="s">
        <v>1635</v>
      </c>
      <c r="B155" t="s">
        <v>1636</v>
      </c>
      <c r="C155" t="s">
        <v>1304</v>
      </c>
    </row>
    <row r="156" spans="1:3" ht="25.5">
      <c r="A156" t="s">
        <v>1637</v>
      </c>
      <c r="B156" t="s">
        <v>1638</v>
      </c>
      <c r="C156" t="s">
        <v>1304</v>
      </c>
    </row>
    <row r="157" spans="1:3" ht="38.25">
      <c r="A157" t="s">
        <v>1639</v>
      </c>
      <c r="B157" t="s">
        <v>1640</v>
      </c>
      <c r="C157" t="s">
        <v>1641</v>
      </c>
    </row>
    <row r="158" spans="1:3" ht="38.25">
      <c r="A158" t="s">
        <v>1642</v>
      </c>
      <c r="B158" t="s">
        <v>1643</v>
      </c>
      <c r="C158" t="s">
        <v>1326</v>
      </c>
    </row>
    <row r="159" spans="1:3" ht="38.25">
      <c r="A159" t="s">
        <v>1644</v>
      </c>
      <c r="B159" t="s">
        <v>1645</v>
      </c>
      <c r="C159" t="s">
        <v>1338</v>
      </c>
    </row>
    <row r="160" spans="1:3" ht="38.25">
      <c r="A160" t="s">
        <v>1646</v>
      </c>
      <c r="B160" t="s">
        <v>1647</v>
      </c>
      <c r="C160" t="s">
        <v>1338</v>
      </c>
    </row>
    <row r="161" spans="1:3" ht="102">
      <c r="A161" t="s">
        <v>1648</v>
      </c>
      <c r="B161" t="s">
        <v>1649</v>
      </c>
      <c r="C161" t="s">
        <v>1304</v>
      </c>
    </row>
    <row r="162" spans="1:3">
      <c r="A162" t="s">
        <v>1650</v>
      </c>
      <c r="B162" t="s">
        <v>1651</v>
      </c>
      <c r="C162" t="s">
        <v>1304</v>
      </c>
    </row>
    <row r="164" spans="1:3">
      <c r="A164" s="10" t="s">
        <v>150</v>
      </c>
    </row>
  </sheetData>
  <sheetProtection algorithmName="SHA-1" hashValue="7WHs9iziNVy53PhHLPri5ILdxiw=" saltValue="Hbvu0VI7FC74gi40rSHmJw==" spinCount="100000" sheet="1" objects="1" scenarios="1"/>
  <hyperlinks>
    <hyperlink ref="A1" location="Home!G14" tooltip="Click here to return Home" display="Home" xr:uid="{00000000-0004-0000-1100-000000000000}"/>
    <hyperlink ref="A164" location="Glossary!A6" tooltip="Go to the Top of this Page" display="Go to Top" xr:uid="{00000000-0004-0000-1100-000001000000}"/>
  </hyperlinks>
  <pageMargins left="0.7" right="0.7" top="0.75" bottom="0.75" header="0.3" footer="0.3"/>
  <pageSetup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I283"/>
  <sheetViews>
    <sheetView topLeftCell="W64" zoomScale="120" zoomScaleNormal="120" workbookViewId="0">
      <selection activeCell="AD78" sqref="AD78"/>
    </sheetView>
  </sheetViews>
  <sheetFormatPr defaultColWidth="6" defaultRowHeight="12.75"/>
  <cols>
    <col min="1" max="4" width="11" customWidth="1"/>
    <col min="5" max="6" width="16" customWidth="1"/>
    <col min="7" max="7" width="31" customWidth="1"/>
    <col min="8" max="8" width="11" customWidth="1"/>
    <col min="9" max="9" width="2" customWidth="1"/>
    <col min="10" max="10" width="26" customWidth="1"/>
    <col min="11" max="13" width="21" customWidth="1"/>
    <col min="14" max="22" width="16" customWidth="1"/>
    <col min="23" max="23" width="2" customWidth="1"/>
    <col min="24" max="27" width="15" customWidth="1"/>
    <col min="28" max="28" width="17.5703125" customWidth="1"/>
    <col min="29" max="29" width="18.42578125" customWidth="1"/>
    <col min="30" max="30" width="31" customWidth="1"/>
    <col min="31" max="31" width="11" customWidth="1"/>
    <col min="32" max="32" width="17" customWidth="1"/>
    <col min="33" max="33" width="2" customWidth="1"/>
    <col min="34" max="34" width="26" customWidth="1"/>
    <col min="35" max="35" width="21.42578125" customWidth="1"/>
    <col min="36" max="36" width="2" customWidth="1"/>
  </cols>
  <sheetData>
    <row r="1" spans="1:35" ht="25.5">
      <c r="A1" t="s">
        <v>1652</v>
      </c>
      <c r="B1" t="s">
        <v>1282</v>
      </c>
      <c r="C1" t="s">
        <v>1653</v>
      </c>
      <c r="D1" t="s">
        <v>1654</v>
      </c>
      <c r="E1" t="s">
        <v>1655</v>
      </c>
      <c r="F1" t="s">
        <v>1656</v>
      </c>
      <c r="G1" t="s">
        <v>336</v>
      </c>
      <c r="H1" t="s">
        <v>1657</v>
      </c>
      <c r="J1" t="s">
        <v>1654</v>
      </c>
      <c r="K1" t="s">
        <v>1658</v>
      </c>
      <c r="L1" t="s">
        <v>1659</v>
      </c>
      <c r="M1" t="s">
        <v>1660</v>
      </c>
      <c r="N1" t="s">
        <v>1661</v>
      </c>
      <c r="O1" t="s">
        <v>1662</v>
      </c>
      <c r="P1" t="s">
        <v>1663</v>
      </c>
      <c r="Q1" t="s">
        <v>1664</v>
      </c>
      <c r="R1" t="s">
        <v>1665</v>
      </c>
      <c r="S1" t="s">
        <v>1666</v>
      </c>
      <c r="T1" t="s">
        <v>1667</v>
      </c>
      <c r="U1" t="s">
        <v>1668</v>
      </c>
      <c r="V1" t="s">
        <v>1669</v>
      </c>
      <c r="X1" t="s">
        <v>1670</v>
      </c>
      <c r="Y1" t="s">
        <v>1671</v>
      </c>
      <c r="Z1" t="s">
        <v>1672</v>
      </c>
      <c r="AA1" t="s">
        <v>1673</v>
      </c>
      <c r="AB1" t="s">
        <v>1674</v>
      </c>
      <c r="AC1" t="s">
        <v>1675</v>
      </c>
      <c r="AD1" t="s">
        <v>54</v>
      </c>
      <c r="AE1" t="s">
        <v>1676</v>
      </c>
      <c r="AF1" t="s">
        <v>1677</v>
      </c>
      <c r="AH1" t="s">
        <v>1670</v>
      </c>
      <c r="AI1" t="s">
        <v>1678</v>
      </c>
    </row>
    <row r="2" spans="1:35">
      <c r="A2" t="s">
        <v>503</v>
      </c>
      <c r="B2">
        <v>0</v>
      </c>
      <c r="C2" t="s">
        <v>501</v>
      </c>
      <c r="D2" t="s">
        <v>1273</v>
      </c>
      <c r="E2">
        <v>1</v>
      </c>
      <c r="F2">
        <v>1</v>
      </c>
      <c r="G2">
        <f>VLOOKUP(Table_Collate[[#This Row],[Practice ID]],ACM,4,FALSE)</f>
        <v>0</v>
      </c>
      <c r="H2">
        <f>_xlfn.IFNA(VLOOKUP(Table_Collate[[#This Row],[Current State]],Score,2,FALSE),0)</f>
        <v>0</v>
      </c>
      <c r="J2" t="s">
        <v>1273</v>
      </c>
      <c r="K2">
        <f>COUNTIFS(Table_Collate[Anti-Pattern],0,Table_Collate[Domain],Table_Aggregate[[#This Row],[Domain]],Table_Collate[Maturity Indicator Level],1,Table_Collate[Complete],1)</f>
        <v>0</v>
      </c>
      <c r="L2">
        <f>COUNTIFS(Table_Collate[Anti-Pattern],1,Table_Collate[Domain],Table_Aggregate[[#This Row],[Domain]],Table_Collate[Maturity Indicator Level],1,Table_Collate[Complete],1)</f>
        <v>0</v>
      </c>
      <c r="M2">
        <f>COUNTIFS(Table_Collate[Anti-Pattern],0,Table_Collate[Domain],Table_Aggregate[[#This Row],[Domain]],Table_Collate[Maturity Indicator Level],2,Table_Collate[Complete],1)</f>
        <v>0</v>
      </c>
      <c r="N2">
        <f>COUNTIFS(Table_Collate[Anti-Pattern],1,Table_Collate[Domain],Table_Aggregate[[#This Row],[Domain]],Table_Collate[Maturity Indicator Level],2,Table_Collate[Complete],1)</f>
        <v>0</v>
      </c>
      <c r="O2">
        <f>COUNTIFS(Table_Collate[Anti-Pattern],0,Table_Collate[Domain],Table_Aggregate[[#This Row],[Domain]],Table_Collate[Maturity Indicator Level],3,Table_Collate[Complete],1)</f>
        <v>0</v>
      </c>
      <c r="P2">
        <f>COUNTIFS(Table_Collate[Anti-Pattern],1,Table_Collate[Domain],Table_Aggregate[[#This Row],[Domain]],Table_Collate[Maturity Indicator Level],3,Table_Collate[Complete],1)</f>
        <v>0</v>
      </c>
      <c r="Q2">
        <f>COUNTIFS(Table_Collate[Anti-Pattern],0,Table_Collate[Domain],Table_Aggregate[[#This Row],[Domain]],Table_Collate[Maturity Indicator Level],1,Table_Collate[Complete],0)</f>
        <v>6</v>
      </c>
      <c r="R2">
        <f>COUNTIFS(Table_Collate[Anti-Pattern],1,Table_Collate[Domain],Table_Aggregate[[#This Row],[Domain]],Table_Collate[Maturity Indicator Level],1,Table_Collate[Complete],0)</f>
        <v>0</v>
      </c>
      <c r="S2">
        <f>COUNTIFS(Table_Collate[Anti-Pattern],0,Table_Collate[Domain],Table_Aggregate[[#This Row],[Domain]],Table_Collate[Maturity Indicator Level],2,Table_Collate[Complete],0)</f>
        <v>5</v>
      </c>
      <c r="T2">
        <f>COUNTIFS(Table_Collate[Anti-Pattern],1,Table_Collate[Domain],Table_Aggregate[[#This Row],[Domain]],Table_Collate[Maturity Indicator Level],2,Table_Collate[Complete],0)</f>
        <v>2</v>
      </c>
      <c r="U2">
        <f>COUNTIFS(Table_Collate[Anti-Pattern],0,Table_Collate[Domain],Table_Aggregate[[#This Row],[Domain]],Table_Collate[Maturity Indicator Level],3,Table_Collate[Complete],0)</f>
        <v>6</v>
      </c>
      <c r="V2">
        <f>COUNTIFS(Table_Collate[Anti-Pattern],1,Table_Collate[Domain],Table_Aggregate[[#This Row],[Domain]],Table_Collate[Maturity Indicator Level],3,Table_Collate[Complete],0)</f>
        <v>1</v>
      </c>
      <c r="X2" t="s">
        <v>1679</v>
      </c>
      <c r="Y2" t="s">
        <v>58</v>
      </c>
      <c r="Z2" t="s">
        <v>1680</v>
      </c>
      <c r="AA2" t="s">
        <v>1681</v>
      </c>
      <c r="AB2" s="27">
        <v>1</v>
      </c>
      <c r="AC2" s="29">
        <v>1</v>
      </c>
      <c r="AD2">
        <f>IFERROR(VLOOKUP(Table_Collate_Criticality_Assessment_Tool[[#This Row],[ID]],CAT,4,FALSE),0)</f>
        <v>0</v>
      </c>
      <c r="AE2" cm="1">
        <f t="array" aca="1" ref="AE2" ca="1">IFERROR(_xlfn.XLOOKUP(Table_Collate_Criticality_Assessment_Tool[[#This Row],[Response]],INDIRECT(Table_Collate_Criticality_Assessment_Tool[[#This Row],[Response ID]],TRUE),INDIRECT(Table_Collate_Criticality_Assessment_Tool[[#This Row],[Answer ID]],TRUE)),0)</f>
        <v>0</v>
      </c>
      <c r="AF2">
        <f ca="1">Table_Collate_Criticality_Assessment_Tool[[#This Row],[Question Weight]]*Table_Collate_Criticality_Assessment_Tool[[#This Row],[Subsector Weight]]*Table_Collate_Criticality_Assessment_Tool[[#This Row],[Score]]</f>
        <v>0</v>
      </c>
      <c r="AH2" t="s">
        <v>1679</v>
      </c>
      <c r="AI2">
        <f ca="1">SUMIFS(Table_Collate_Criticality_Assessment_Tool[Weighted Score],Table_Collate_Criticality_Assessment_Tool[Subsector],Table_Aggregate_Criticality_Assessment_Tool[[#This Row],[Subsector]])</f>
        <v>0</v>
      </c>
    </row>
    <row r="3" spans="1:35">
      <c r="A3" t="s">
        <v>506</v>
      </c>
      <c r="B3">
        <v>0</v>
      </c>
      <c r="C3" t="s">
        <v>501</v>
      </c>
      <c r="D3" t="s">
        <v>1273</v>
      </c>
      <c r="E3">
        <v>1</v>
      </c>
      <c r="F3">
        <v>1</v>
      </c>
      <c r="G3">
        <f>VLOOKUP(Table_Collate[[#This Row],[Practice ID]],ACM,4,FALSE)</f>
        <v>0</v>
      </c>
      <c r="H3">
        <f>_xlfn.IFNA(VLOOKUP(Table_Collate[[#This Row],[Current State]],Score,2,FALSE),0)</f>
        <v>0</v>
      </c>
      <c r="J3" t="s">
        <v>1281</v>
      </c>
      <c r="K3">
        <f>COUNTIFS(Table_Collate[Anti-Pattern],0,Table_Collate[Domain],Table_Aggregate[[#This Row],[Domain]],Table_Collate[Maturity Indicator Level],1,Table_Collate[Complete],1)</f>
        <v>0</v>
      </c>
      <c r="L3">
        <f>COUNTIFS(Table_Collate[Anti-Pattern],1,Table_Collate[Domain],Table_Aggregate[[#This Row],[Domain]],Table_Collate[Maturity Indicator Level],1,Table_Collate[Complete],1)</f>
        <v>0</v>
      </c>
      <c r="M3">
        <f>COUNTIFS(Table_Collate[Anti-Pattern],0,Table_Collate[Domain],Table_Aggregate[[#This Row],[Domain]],Table_Collate[Maturity Indicator Level],2,Table_Collate[Complete],1)</f>
        <v>0</v>
      </c>
      <c r="N3">
        <f>COUNTIFS(Table_Collate[Anti-Pattern],1,Table_Collate[Domain],Table_Aggregate[[#This Row],[Domain]],Table_Collate[Maturity Indicator Level],2,Table_Collate[Complete],1)</f>
        <v>0</v>
      </c>
      <c r="O3">
        <f>COUNTIFS(Table_Collate[Anti-Pattern],0,Table_Collate[Domain],Table_Aggregate[[#This Row],[Domain]],Table_Collate[Maturity Indicator Level],3,Table_Collate[Complete],1)</f>
        <v>0</v>
      </c>
      <c r="P3">
        <f>COUNTIFS(Table_Collate[Anti-Pattern],1,Table_Collate[Domain],Table_Aggregate[[#This Row],[Domain]],Table_Collate[Maturity Indicator Level],3,Table_Collate[Complete],1)</f>
        <v>0</v>
      </c>
      <c r="Q3">
        <f>COUNTIFS(Table_Collate[Anti-Pattern],0,Table_Collate[Domain],Table_Aggregate[[#This Row],[Domain]],Table_Collate[Maturity Indicator Level],1,Table_Collate[Complete],0)</f>
        <v>3</v>
      </c>
      <c r="R3">
        <f>COUNTIFS(Table_Collate[Anti-Pattern],1,Table_Collate[Domain],Table_Aggregate[[#This Row],[Domain]],Table_Collate[Maturity Indicator Level],1,Table_Collate[Complete],0)</f>
        <v>0</v>
      </c>
      <c r="S3">
        <f>COUNTIFS(Table_Collate[Anti-Pattern],0,Table_Collate[Domain],Table_Aggregate[[#This Row],[Domain]],Table_Collate[Maturity Indicator Level],2,Table_Collate[Complete],0)</f>
        <v>7</v>
      </c>
      <c r="T3">
        <f>COUNTIFS(Table_Collate[Anti-Pattern],1,Table_Collate[Domain],Table_Aggregate[[#This Row],[Domain]],Table_Collate[Maturity Indicator Level],2,Table_Collate[Complete],0)</f>
        <v>1</v>
      </c>
      <c r="U3">
        <f>COUNTIFS(Table_Collate[Anti-Pattern],0,Table_Collate[Domain],Table_Aggregate[[#This Row],[Domain]],Table_Collate[Maturity Indicator Level],3,Table_Collate[Complete],0)</f>
        <v>6</v>
      </c>
      <c r="V3">
        <f>COUNTIFS(Table_Collate[Anti-Pattern],1,Table_Collate[Domain],Table_Aggregate[[#This Row],[Domain]],Table_Collate[Maturity Indicator Level],3,Table_Collate[Complete],0)</f>
        <v>0</v>
      </c>
      <c r="X3" t="s">
        <v>1679</v>
      </c>
      <c r="Y3" t="s">
        <v>62</v>
      </c>
      <c r="Z3" t="s">
        <v>1682</v>
      </c>
      <c r="AA3" t="s">
        <v>1683</v>
      </c>
      <c r="AB3" s="27">
        <v>0.35</v>
      </c>
      <c r="AC3" s="29">
        <v>60</v>
      </c>
      <c r="AD3">
        <f>IFERROR(VLOOKUP(Table_Collate_Criticality_Assessment_Tool[[#This Row],[ID]],CAT,4,FALSE),0)</f>
        <v>0</v>
      </c>
      <c r="AE3" cm="1">
        <f t="array" aca="1" ref="AE3" ca="1">IFERROR(_xlfn.XLOOKUP(Table_Collate_Criticality_Assessment_Tool[[#This Row],[Response]],INDIRECT(Table_Collate_Criticality_Assessment_Tool[[#This Row],[Response ID]],TRUE),INDIRECT(Table_Collate_Criticality_Assessment_Tool[[#This Row],[Answer ID]],TRUE)),0)</f>
        <v>0</v>
      </c>
      <c r="AF3">
        <f ca="1">Table_Collate_Criticality_Assessment_Tool[[#This Row],[Question Weight]]*Table_Collate_Criticality_Assessment_Tool[[#This Row],[Subsector Weight]]*Table_Collate_Criticality_Assessment_Tool[[#This Row],[Score]]</f>
        <v>0</v>
      </c>
      <c r="AH3" t="s">
        <v>1684</v>
      </c>
      <c r="AI3">
        <f ca="1">SUMIFS(Table_Collate_Criticality_Assessment_Tool[Weighted Score],Table_Collate_Criticality_Assessment_Tool[Subsector],Table_Aggregate_Criticality_Assessment_Tool[[#This Row],[Subsector]])</f>
        <v>0</v>
      </c>
    </row>
    <row r="4" spans="1:35">
      <c r="A4" t="s">
        <v>509</v>
      </c>
      <c r="B4">
        <v>0</v>
      </c>
      <c r="C4" t="s">
        <v>501</v>
      </c>
      <c r="D4" t="s">
        <v>1273</v>
      </c>
      <c r="E4">
        <v>2</v>
      </c>
      <c r="F4">
        <v>2</v>
      </c>
      <c r="G4">
        <f>VLOOKUP(Table_Collate[[#This Row],[Practice ID]],ACM,4,FALSE)</f>
        <v>0</v>
      </c>
      <c r="H4">
        <f>_xlfn.IFNA(VLOOKUP(Table_Collate[[#This Row],[Current State]],Score,2,FALSE),0)</f>
        <v>0</v>
      </c>
      <c r="J4" t="s">
        <v>1272</v>
      </c>
      <c r="K4">
        <f>COUNTIFS(Table_Collate[Anti-Pattern],0,Table_Collate[Domain],Table_Aggregate[[#This Row],[Domain]],Table_Collate[Maturity Indicator Level],1,Table_Collate[Complete],1)</f>
        <v>4</v>
      </c>
      <c r="L4">
        <f>COUNTIFS(Table_Collate[Anti-Pattern],1,Table_Collate[Domain],Table_Aggregate[[#This Row],[Domain]],Table_Collate[Maturity Indicator Level],1,Table_Collate[Complete],1)</f>
        <v>0</v>
      </c>
      <c r="M4">
        <f>COUNTIFS(Table_Collate[Anti-Pattern],0,Table_Collate[Domain],Table_Aggregate[[#This Row],[Domain]],Table_Collate[Maturity Indicator Level],2,Table_Collate[Complete],1)</f>
        <v>14</v>
      </c>
      <c r="N4">
        <f>COUNTIFS(Table_Collate[Anti-Pattern],1,Table_Collate[Domain],Table_Aggregate[[#This Row],[Domain]],Table_Collate[Maturity Indicator Level],2,Table_Collate[Complete],1)</f>
        <v>2</v>
      </c>
      <c r="O4">
        <f>COUNTIFS(Table_Collate[Anti-Pattern],0,Table_Collate[Domain],Table_Aggregate[[#This Row],[Domain]],Table_Collate[Maturity Indicator Level],3,Table_Collate[Complete],1)</f>
        <v>7</v>
      </c>
      <c r="P4">
        <f>COUNTIFS(Table_Collate[Anti-Pattern],1,Table_Collate[Domain],Table_Aggregate[[#This Row],[Domain]],Table_Collate[Maturity Indicator Level],3,Table_Collate[Complete],1)</f>
        <v>0</v>
      </c>
      <c r="Q4">
        <f>COUNTIFS(Table_Collate[Anti-Pattern],0,Table_Collate[Domain],Table_Aggregate[[#This Row],[Domain]],Table_Collate[Maturity Indicator Level],1,Table_Collate[Complete],0)</f>
        <v>0</v>
      </c>
      <c r="R4">
        <f>COUNTIFS(Table_Collate[Anti-Pattern],1,Table_Collate[Domain],Table_Aggregate[[#This Row],[Domain]],Table_Collate[Maturity Indicator Level],1,Table_Collate[Complete],0)</f>
        <v>0</v>
      </c>
      <c r="S4">
        <f>COUNTIFS(Table_Collate[Anti-Pattern],0,Table_Collate[Domain],Table_Aggregate[[#This Row],[Domain]],Table_Collate[Maturity Indicator Level],2,Table_Collate[Complete],0)</f>
        <v>0</v>
      </c>
      <c r="T4">
        <f>COUNTIFS(Table_Collate[Anti-Pattern],1,Table_Collate[Domain],Table_Aggregate[[#This Row],[Domain]],Table_Collate[Maturity Indicator Level],2,Table_Collate[Complete],0)</f>
        <v>1</v>
      </c>
      <c r="U4">
        <f>COUNTIFS(Table_Collate[Anti-Pattern],0,Table_Collate[Domain],Table_Aggregate[[#This Row],[Domain]],Table_Collate[Maturity Indicator Level],3,Table_Collate[Complete],0)</f>
        <v>0</v>
      </c>
      <c r="V4">
        <f>COUNTIFS(Table_Collate[Anti-Pattern],1,Table_Collate[Domain],Table_Aggregate[[#This Row],[Domain]],Table_Collate[Maturity Indicator Level],3,Table_Collate[Complete],0)</f>
        <v>0</v>
      </c>
      <c r="X4" t="s">
        <v>1679</v>
      </c>
      <c r="Y4" t="s">
        <v>65</v>
      </c>
      <c r="Z4" t="s">
        <v>1685</v>
      </c>
      <c r="AA4" t="s">
        <v>1686</v>
      </c>
      <c r="AB4" s="27">
        <v>0.1</v>
      </c>
      <c r="AC4" s="29">
        <v>60</v>
      </c>
      <c r="AD4">
        <f>IFERROR(VLOOKUP(Table_Collate_Criticality_Assessment_Tool[[#This Row],[ID]],CAT,4,FALSE),0)</f>
        <v>0</v>
      </c>
      <c r="AE4" cm="1">
        <f t="array" aca="1" ref="AE4" ca="1">IFERROR(_xlfn.XLOOKUP(Table_Collate_Criticality_Assessment_Tool[[#This Row],[Response]],INDIRECT(Table_Collate_Criticality_Assessment_Tool[[#This Row],[Response ID]],TRUE),INDIRECT(Table_Collate_Criticality_Assessment_Tool[[#This Row],[Answer ID]],TRUE)),0)</f>
        <v>0</v>
      </c>
      <c r="AF4">
        <f ca="1">Table_Collate_Criticality_Assessment_Tool[[#This Row],[Question Weight]]*Table_Collate_Criticality_Assessment_Tool[[#This Row],[Subsector Weight]]*Table_Collate_Criticality_Assessment_Tool[[#This Row],[Score]]</f>
        <v>0</v>
      </c>
      <c r="AH4" t="s">
        <v>1687</v>
      </c>
      <c r="AI4">
        <f ca="1">SUMIFS(Table_Collate_Criticality_Assessment_Tool[Weighted Score],Table_Collate_Criticality_Assessment_Tool[Subsector],Table_Aggregate_Criticality_Assessment_Tool[[#This Row],[Subsector]])</f>
        <v>0</v>
      </c>
    </row>
    <row r="5" spans="1:35">
      <c r="A5" t="s">
        <v>512</v>
      </c>
      <c r="B5">
        <v>0</v>
      </c>
      <c r="C5" t="s">
        <v>501</v>
      </c>
      <c r="D5" t="s">
        <v>1273</v>
      </c>
      <c r="E5">
        <v>2</v>
      </c>
      <c r="F5">
        <v>2</v>
      </c>
      <c r="G5">
        <f>VLOOKUP(Table_Collate[[#This Row],[Practice ID]],ACM,4,FALSE)</f>
        <v>0</v>
      </c>
      <c r="H5">
        <f>_xlfn.IFNA(VLOOKUP(Table_Collate[[#This Row],[Current State]],Score,2,FALSE),0)</f>
        <v>0</v>
      </c>
      <c r="J5" t="s">
        <v>1279</v>
      </c>
      <c r="K5">
        <f>COUNTIFS(Table_Collate[Anti-Pattern],0,Table_Collate[Domain],Table_Aggregate[[#This Row],[Domain]],Table_Collate[Maturity Indicator Level],1,Table_Collate[Complete],1)</f>
        <v>0</v>
      </c>
      <c r="L5">
        <f>COUNTIFS(Table_Collate[Anti-Pattern],1,Table_Collate[Domain],Table_Aggregate[[#This Row],[Domain]],Table_Collate[Maturity Indicator Level],1,Table_Collate[Complete],1)</f>
        <v>0</v>
      </c>
      <c r="M5">
        <f>COUNTIFS(Table_Collate[Anti-Pattern],0,Table_Collate[Domain],Table_Aggregate[[#This Row],[Domain]],Table_Collate[Maturity Indicator Level],2,Table_Collate[Complete],1)</f>
        <v>0</v>
      </c>
      <c r="N5">
        <f>COUNTIFS(Table_Collate[Anti-Pattern],1,Table_Collate[Domain],Table_Aggregate[[#This Row],[Domain]],Table_Collate[Maturity Indicator Level],2,Table_Collate[Complete],1)</f>
        <v>0</v>
      </c>
      <c r="O5">
        <f>COUNTIFS(Table_Collate[Anti-Pattern],0,Table_Collate[Domain],Table_Aggregate[[#This Row],[Domain]],Table_Collate[Maturity Indicator Level],3,Table_Collate[Complete],1)</f>
        <v>0</v>
      </c>
      <c r="P5">
        <f>COUNTIFS(Table_Collate[Anti-Pattern],1,Table_Collate[Domain],Table_Aggregate[[#This Row],[Domain]],Table_Collate[Maturity Indicator Level],3,Table_Collate[Complete],1)</f>
        <v>0</v>
      </c>
      <c r="Q5">
        <f>COUNTIFS(Table_Collate[Anti-Pattern],0,Table_Collate[Domain],Table_Aggregate[[#This Row],[Domain]],Table_Collate[Maturity Indicator Level],1,Table_Collate[Complete],0)</f>
        <v>4</v>
      </c>
      <c r="R5">
        <f>COUNTIFS(Table_Collate[Anti-Pattern],1,Table_Collate[Domain],Table_Aggregate[[#This Row],[Domain]],Table_Collate[Maturity Indicator Level],1,Table_Collate[Complete],0)</f>
        <v>0</v>
      </c>
      <c r="S5">
        <f>COUNTIFS(Table_Collate[Anti-Pattern],0,Table_Collate[Domain],Table_Aggregate[[#This Row],[Domain]],Table_Collate[Maturity Indicator Level],2,Table_Collate[Complete],0)</f>
        <v>11</v>
      </c>
      <c r="T5">
        <f>COUNTIFS(Table_Collate[Anti-Pattern],1,Table_Collate[Domain],Table_Aggregate[[#This Row],[Domain]],Table_Collate[Maturity Indicator Level],2,Table_Collate[Complete],0)</f>
        <v>0</v>
      </c>
      <c r="U5">
        <f>COUNTIFS(Table_Collate[Anti-Pattern],0,Table_Collate[Domain],Table_Aggregate[[#This Row],[Domain]],Table_Collate[Maturity Indicator Level],3,Table_Collate[Complete],0)</f>
        <v>6</v>
      </c>
      <c r="V5">
        <f>COUNTIFS(Table_Collate[Anti-Pattern],1,Table_Collate[Domain],Table_Aggregate[[#This Row],[Domain]],Table_Collate[Maturity Indicator Level],3,Table_Collate[Complete],0)</f>
        <v>0</v>
      </c>
      <c r="X5" t="s">
        <v>1679</v>
      </c>
      <c r="Y5" t="s">
        <v>68</v>
      </c>
      <c r="Z5" t="s">
        <v>1688</v>
      </c>
      <c r="AA5" t="s">
        <v>1689</v>
      </c>
      <c r="AB5" s="27">
        <v>0.05</v>
      </c>
      <c r="AC5" s="29">
        <v>60</v>
      </c>
      <c r="AD5">
        <f>IFERROR(VLOOKUP(Table_Collate_Criticality_Assessment_Tool[[#This Row],[ID]],CAT,4,FALSE),0)</f>
        <v>0</v>
      </c>
      <c r="AE5" cm="1">
        <f t="array" aca="1" ref="AE5" ca="1">IFERROR(_xlfn.XLOOKUP(Table_Collate_Criticality_Assessment_Tool[[#This Row],[Response]],INDIRECT(Table_Collate_Criticality_Assessment_Tool[[#This Row],[Response ID]],TRUE),INDIRECT(Table_Collate_Criticality_Assessment_Tool[[#This Row],[Answer ID]],TRUE)),0)</f>
        <v>0</v>
      </c>
      <c r="AF5">
        <f ca="1">Table_Collate_Criticality_Assessment_Tool[[#This Row],[Question Weight]]*Table_Collate_Criticality_Assessment_Tool[[#This Row],[Subsector Weight]]*Table_Collate_Criticality_Assessment_Tool[[#This Row],[Score]]</f>
        <v>0</v>
      </c>
      <c r="AH5" t="s">
        <v>1690</v>
      </c>
      <c r="AI5">
        <f ca="1">SUMIFS(Table_Collate_Criticality_Assessment_Tool[Weighted Score],Table_Collate_Criticality_Assessment_Tool[Subsector],Table_Aggregate_Criticality_Assessment_Tool[[#This Row],[Subsector]])</f>
        <v>0</v>
      </c>
    </row>
    <row r="6" spans="1:35">
      <c r="A6" t="s">
        <v>515</v>
      </c>
      <c r="B6">
        <v>0</v>
      </c>
      <c r="C6" t="s">
        <v>501</v>
      </c>
      <c r="D6" t="s">
        <v>1273</v>
      </c>
      <c r="E6">
        <v>3</v>
      </c>
      <c r="F6">
        <v>3</v>
      </c>
      <c r="G6">
        <f>VLOOKUP(Table_Collate[[#This Row],[Practice ID]],ACM,4,FALSE)</f>
        <v>0</v>
      </c>
      <c r="H6">
        <f>_xlfn.IFNA(VLOOKUP(Table_Collate[[#This Row],[Current State]],Score,2,FALSE),0)</f>
        <v>0</v>
      </c>
      <c r="J6" t="s">
        <v>1274</v>
      </c>
      <c r="K6">
        <f>COUNTIFS(Table_Collate[Anti-Pattern],0,Table_Collate[Domain],Table_Aggregate[[#This Row],[Domain]],Table_Collate[Maturity Indicator Level],1,Table_Collate[Complete],1)</f>
        <v>0</v>
      </c>
      <c r="L6">
        <f>COUNTIFS(Table_Collate[Anti-Pattern],1,Table_Collate[Domain],Table_Aggregate[[#This Row],[Domain]],Table_Collate[Maturity Indicator Level],1,Table_Collate[Complete],1)</f>
        <v>0</v>
      </c>
      <c r="M6">
        <f>COUNTIFS(Table_Collate[Anti-Pattern],0,Table_Collate[Domain],Table_Aggregate[[#This Row],[Domain]],Table_Collate[Maturity Indicator Level],2,Table_Collate[Complete],1)</f>
        <v>0</v>
      </c>
      <c r="N6">
        <f>COUNTIFS(Table_Collate[Anti-Pattern],1,Table_Collate[Domain],Table_Aggregate[[#This Row],[Domain]],Table_Collate[Maturity Indicator Level],2,Table_Collate[Complete],1)</f>
        <v>0</v>
      </c>
      <c r="O6">
        <f>COUNTIFS(Table_Collate[Anti-Pattern],0,Table_Collate[Domain],Table_Aggregate[[#This Row],[Domain]],Table_Collate[Maturity Indicator Level],3,Table_Collate[Complete],1)</f>
        <v>0</v>
      </c>
      <c r="P6">
        <f>COUNTIFS(Table_Collate[Anti-Pattern],1,Table_Collate[Domain],Table_Aggregate[[#This Row],[Domain]],Table_Collate[Maturity Indicator Level],3,Table_Collate[Complete],1)</f>
        <v>0</v>
      </c>
      <c r="Q6">
        <f>COUNTIFS(Table_Collate[Anti-Pattern],0,Table_Collate[Domain],Table_Aggregate[[#This Row],[Domain]],Table_Collate[Maturity Indicator Level],1,Table_Collate[Complete],0)</f>
        <v>6</v>
      </c>
      <c r="R6">
        <f>COUNTIFS(Table_Collate[Anti-Pattern],1,Table_Collate[Domain],Table_Aggregate[[#This Row],[Domain]],Table_Collate[Maturity Indicator Level],1,Table_Collate[Complete],0)</f>
        <v>1</v>
      </c>
      <c r="S6">
        <f>COUNTIFS(Table_Collate[Anti-Pattern],0,Table_Collate[Domain],Table_Aggregate[[#This Row],[Domain]],Table_Collate[Maturity Indicator Level],2,Table_Collate[Complete],0)</f>
        <v>6</v>
      </c>
      <c r="T6">
        <f>COUNTIFS(Table_Collate[Anti-Pattern],1,Table_Collate[Domain],Table_Aggregate[[#This Row],[Domain]],Table_Collate[Maturity Indicator Level],2,Table_Collate[Complete],0)</f>
        <v>6</v>
      </c>
      <c r="U6">
        <f>COUNTIFS(Table_Collate[Anti-Pattern],0,Table_Collate[Domain],Table_Aggregate[[#This Row],[Domain]],Table_Collate[Maturity Indicator Level],3,Table_Collate[Complete],0)</f>
        <v>4</v>
      </c>
      <c r="V6">
        <f>COUNTIFS(Table_Collate[Anti-Pattern],1,Table_Collate[Domain],Table_Aggregate[[#This Row],[Domain]],Table_Collate[Maturity Indicator Level],3,Table_Collate[Complete],0)</f>
        <v>4</v>
      </c>
      <c r="X6" t="s">
        <v>1679</v>
      </c>
      <c r="Y6" t="s">
        <v>71</v>
      </c>
      <c r="Z6" t="s">
        <v>1691</v>
      </c>
      <c r="AA6" t="s">
        <v>1692</v>
      </c>
      <c r="AB6" s="27">
        <v>0.2</v>
      </c>
      <c r="AC6" s="29">
        <v>60</v>
      </c>
      <c r="AD6">
        <f>IFERROR(VLOOKUP(Table_Collate_Criticality_Assessment_Tool[[#This Row],[ID]],CAT,4,FALSE),0)</f>
        <v>0</v>
      </c>
      <c r="AE6" cm="1">
        <f t="array" aca="1" ref="AE6" ca="1">IFERROR(_xlfn.XLOOKUP(Table_Collate_Criticality_Assessment_Tool[[#This Row],[Response]],INDIRECT(Table_Collate_Criticality_Assessment_Tool[[#This Row],[Response ID]],TRUE),INDIRECT(Table_Collate_Criticality_Assessment_Tool[[#This Row],[Answer ID]],TRUE)),0)</f>
        <v>0</v>
      </c>
      <c r="AF6">
        <f ca="1">Table_Collate_Criticality_Assessment_Tool[[#This Row],[Question Weight]]*Table_Collate_Criticality_Assessment_Tool[[#This Row],[Subsector Weight]]*Table_Collate_Criticality_Assessment_Tool[[#This Row],[Score]]</f>
        <v>0</v>
      </c>
      <c r="AH6" t="s">
        <v>1693</v>
      </c>
      <c r="AI6">
        <f ca="1">SUMIFS(Table_Collate_Criticality_Assessment_Tool[Weighted Score],Table_Collate_Criticality_Assessment_Tool[Subsector],Table_Aggregate_Criticality_Assessment_Tool[[#This Row],[Subsector]])</f>
        <v>0</v>
      </c>
    </row>
    <row r="7" spans="1:35">
      <c r="A7" t="s">
        <v>518</v>
      </c>
      <c r="B7">
        <v>0</v>
      </c>
      <c r="C7" t="s">
        <v>501</v>
      </c>
      <c r="D7" t="s">
        <v>1273</v>
      </c>
      <c r="E7">
        <v>3</v>
      </c>
      <c r="F7">
        <v>2</v>
      </c>
      <c r="G7">
        <f>VLOOKUP(Table_Collate[[#This Row],[Practice ID]],ACM,4,FALSE)</f>
        <v>0</v>
      </c>
      <c r="H7">
        <f>_xlfn.IFNA(VLOOKUP(Table_Collate[[#This Row],[Current State]],Score,2,FALSE),0)</f>
        <v>0</v>
      </c>
      <c r="J7" t="s">
        <v>1278</v>
      </c>
      <c r="K7">
        <f>COUNTIFS(Table_Collate[Anti-Pattern],0,Table_Collate[Domain],Table_Aggregate[[#This Row],[Domain]],Table_Collate[Maturity Indicator Level],1,Table_Collate[Complete],1)</f>
        <v>0</v>
      </c>
      <c r="L7">
        <f>COUNTIFS(Table_Collate[Anti-Pattern],1,Table_Collate[Domain],Table_Aggregate[[#This Row],[Domain]],Table_Collate[Maturity Indicator Level],1,Table_Collate[Complete],1)</f>
        <v>0</v>
      </c>
      <c r="M7">
        <f>COUNTIFS(Table_Collate[Anti-Pattern],0,Table_Collate[Domain],Table_Aggregate[[#This Row],[Domain]],Table_Collate[Maturity Indicator Level],2,Table_Collate[Complete],1)</f>
        <v>0</v>
      </c>
      <c r="N7">
        <f>COUNTIFS(Table_Collate[Anti-Pattern],1,Table_Collate[Domain],Table_Aggregate[[#This Row],[Domain]],Table_Collate[Maturity Indicator Level],2,Table_Collate[Complete],1)</f>
        <v>0</v>
      </c>
      <c r="O7">
        <f>COUNTIFS(Table_Collate[Anti-Pattern],0,Table_Collate[Domain],Table_Aggregate[[#This Row],[Domain]],Table_Collate[Maturity Indicator Level],3,Table_Collate[Complete],1)</f>
        <v>0</v>
      </c>
      <c r="P7">
        <f>COUNTIFS(Table_Collate[Anti-Pattern],1,Table_Collate[Domain],Table_Aggregate[[#This Row],[Domain]],Table_Collate[Maturity Indicator Level],3,Table_Collate[Complete],1)</f>
        <v>0</v>
      </c>
      <c r="Q7">
        <f>COUNTIFS(Table_Collate[Anti-Pattern],0,Table_Collate[Domain],Table_Aggregate[[#This Row],[Domain]],Table_Collate[Maturity Indicator Level],1,Table_Collate[Complete],0)</f>
        <v>12</v>
      </c>
      <c r="R7">
        <f>COUNTIFS(Table_Collate[Anti-Pattern],1,Table_Collate[Domain],Table_Aggregate[[#This Row],[Domain]],Table_Collate[Maturity Indicator Level],1,Table_Collate[Complete],0)</f>
        <v>0</v>
      </c>
      <c r="S7">
        <f>COUNTIFS(Table_Collate[Anti-Pattern],0,Table_Collate[Domain],Table_Aggregate[[#This Row],[Domain]],Table_Collate[Maturity Indicator Level],2,Table_Collate[Complete],0)</f>
        <v>12</v>
      </c>
      <c r="T7">
        <f>COUNTIFS(Table_Collate[Anti-Pattern],1,Table_Collate[Domain],Table_Aggregate[[#This Row],[Domain]],Table_Collate[Maturity Indicator Level],2,Table_Collate[Complete],0)</f>
        <v>2</v>
      </c>
      <c r="U7">
        <f>COUNTIFS(Table_Collate[Anti-Pattern],0,Table_Collate[Domain],Table_Aggregate[[#This Row],[Domain]],Table_Collate[Maturity Indicator Level],3,Table_Collate[Complete],0)</f>
        <v>19</v>
      </c>
      <c r="V7">
        <f>COUNTIFS(Table_Collate[Anti-Pattern],1,Table_Collate[Domain],Table_Aggregate[[#This Row],[Domain]],Table_Collate[Maturity Indicator Level],3,Table_Collate[Complete],0)</f>
        <v>1</v>
      </c>
      <c r="X7" t="s">
        <v>1679</v>
      </c>
      <c r="Y7" t="s">
        <v>74</v>
      </c>
      <c r="Z7" t="s">
        <v>1694</v>
      </c>
      <c r="AA7" t="s">
        <v>1695</v>
      </c>
      <c r="AB7" s="27">
        <v>0.05</v>
      </c>
      <c r="AC7" s="29">
        <v>60</v>
      </c>
      <c r="AD7">
        <f>IFERROR(VLOOKUP(Table_Collate_Criticality_Assessment_Tool[[#This Row],[ID]],CAT,4,FALSE),0)</f>
        <v>0</v>
      </c>
      <c r="AE7" cm="1">
        <f t="array" aca="1" ref="AE7" ca="1">IFERROR(_xlfn.XLOOKUP(Table_Collate_Criticality_Assessment_Tool[[#This Row],[Response]],INDIRECT(Table_Collate_Criticality_Assessment_Tool[[#This Row],[Response ID]],TRUE),INDIRECT(Table_Collate_Criticality_Assessment_Tool[[#This Row],[Answer ID]],TRUE)),0)</f>
        <v>0</v>
      </c>
      <c r="AF7">
        <f ca="1">Table_Collate_Criticality_Assessment_Tool[[#This Row],[Question Weight]]*Table_Collate_Criticality_Assessment_Tool[[#This Row],[Subsector Weight]]*Table_Collate_Criticality_Assessment_Tool[[#This Row],[Score]]</f>
        <v>0</v>
      </c>
      <c r="AH7" t="s">
        <v>1696</v>
      </c>
      <c r="AI7">
        <f ca="1">SUMIFS(Table_Collate_Criticality_Assessment_Tool[Weighted Score],Table_Collate_Criticality_Assessment_Tool[Subsector],Table_Aggregate_Criticality_Assessment_Tool[[#This Row],[Subsector]])</f>
        <v>0</v>
      </c>
    </row>
    <row r="8" spans="1:35">
      <c r="A8" t="s">
        <v>523</v>
      </c>
      <c r="B8">
        <v>0</v>
      </c>
      <c r="C8" t="s">
        <v>521</v>
      </c>
      <c r="D8" t="s">
        <v>1273</v>
      </c>
      <c r="E8">
        <v>1</v>
      </c>
      <c r="F8">
        <v>1</v>
      </c>
      <c r="G8">
        <f>VLOOKUP(Table_Collate[[#This Row],[Practice ID]],ACM,4,FALSE)</f>
        <v>0</v>
      </c>
      <c r="H8">
        <f>_xlfn.IFNA(VLOOKUP(Table_Collate[[#This Row],[Current State]],Score,2,FALSE),0)</f>
        <v>0</v>
      </c>
      <c r="J8" t="s">
        <v>1275</v>
      </c>
      <c r="K8">
        <f>COUNTIFS(Table_Collate[Anti-Pattern],0,Table_Collate[Domain],Table_Aggregate[[#This Row],[Domain]],Table_Collate[Maturity Indicator Level],1,Table_Collate[Complete],1)</f>
        <v>0</v>
      </c>
      <c r="L8">
        <f>COUNTIFS(Table_Collate[Anti-Pattern],1,Table_Collate[Domain],Table_Aggregate[[#This Row],[Domain]],Table_Collate[Maturity Indicator Level],1,Table_Collate[Complete],1)</f>
        <v>0</v>
      </c>
      <c r="M8">
        <f>COUNTIFS(Table_Collate[Anti-Pattern],0,Table_Collate[Domain],Table_Aggregate[[#This Row],[Domain]],Table_Collate[Maturity Indicator Level],2,Table_Collate[Complete],1)</f>
        <v>0</v>
      </c>
      <c r="N8">
        <f>COUNTIFS(Table_Collate[Anti-Pattern],1,Table_Collate[Domain],Table_Aggregate[[#This Row],[Domain]],Table_Collate[Maturity Indicator Level],2,Table_Collate[Complete],1)</f>
        <v>0</v>
      </c>
      <c r="O8">
        <f>COUNTIFS(Table_Collate[Anti-Pattern],0,Table_Collate[Domain],Table_Aggregate[[#This Row],[Domain]],Table_Collate[Maturity Indicator Level],3,Table_Collate[Complete],1)</f>
        <v>0</v>
      </c>
      <c r="P8">
        <f>COUNTIFS(Table_Collate[Anti-Pattern],1,Table_Collate[Domain],Table_Aggregate[[#This Row],[Domain]],Table_Collate[Maturity Indicator Level],3,Table_Collate[Complete],1)</f>
        <v>0</v>
      </c>
      <c r="Q8">
        <f>COUNTIFS(Table_Collate[Anti-Pattern],0,Table_Collate[Domain],Table_Aggregate[[#This Row],[Domain]],Table_Collate[Maturity Indicator Level],1,Table_Collate[Complete],0)</f>
        <v>2</v>
      </c>
      <c r="R8">
        <f>COUNTIFS(Table_Collate[Anti-Pattern],1,Table_Collate[Domain],Table_Aggregate[[#This Row],[Domain]],Table_Collate[Maturity Indicator Level],1,Table_Collate[Complete],0)</f>
        <v>0</v>
      </c>
      <c r="S8">
        <f>COUNTIFS(Table_Collate[Anti-Pattern],0,Table_Collate[Domain],Table_Aggregate[[#This Row],[Domain]],Table_Collate[Maturity Indicator Level],2,Table_Collate[Complete],0)</f>
        <v>5</v>
      </c>
      <c r="T8">
        <f>COUNTIFS(Table_Collate[Anti-Pattern],1,Table_Collate[Domain],Table_Aggregate[[#This Row],[Domain]],Table_Collate[Maturity Indicator Level],2,Table_Collate[Complete],0)</f>
        <v>0</v>
      </c>
      <c r="U8">
        <f>COUNTIFS(Table_Collate[Anti-Pattern],0,Table_Collate[Domain],Table_Aggregate[[#This Row],[Domain]],Table_Collate[Maturity Indicator Level],3,Table_Collate[Complete],0)</f>
        <v>5</v>
      </c>
      <c r="V8">
        <f>COUNTIFS(Table_Collate[Anti-Pattern],1,Table_Collate[Domain],Table_Aggregate[[#This Row],[Domain]],Table_Collate[Maturity Indicator Level],3,Table_Collate[Complete],0)</f>
        <v>0</v>
      </c>
      <c r="X8" t="s">
        <v>1679</v>
      </c>
      <c r="Y8" t="s">
        <v>77</v>
      </c>
      <c r="Z8" t="s">
        <v>1697</v>
      </c>
      <c r="AA8" t="s">
        <v>1698</v>
      </c>
      <c r="AB8" s="27">
        <v>0.02</v>
      </c>
      <c r="AC8" s="29">
        <v>60</v>
      </c>
      <c r="AD8">
        <f>IFERROR(VLOOKUP(Table_Collate_Criticality_Assessment_Tool[[#This Row],[ID]],CAT,4,FALSE),0)</f>
        <v>0</v>
      </c>
      <c r="AE8" cm="1">
        <f t="array" aca="1" ref="AE8" ca="1">IFERROR(_xlfn.XLOOKUP(Table_Collate_Criticality_Assessment_Tool[[#This Row],[Response]],INDIRECT(Table_Collate_Criticality_Assessment_Tool[[#This Row],[Response ID]],TRUE),INDIRECT(Table_Collate_Criticality_Assessment_Tool[[#This Row],[Answer ID]],TRUE)),0)</f>
        <v>0</v>
      </c>
      <c r="AF8">
        <f ca="1">Table_Collate_Criticality_Assessment_Tool[[#This Row],[Question Weight]]*Table_Collate_Criticality_Assessment_Tool[[#This Row],[Subsector Weight]]*Table_Collate_Criticality_Assessment_Tool[[#This Row],[Score]]</f>
        <v>0</v>
      </c>
    </row>
    <row r="9" spans="1:35" ht="13.5" thickBot="1">
      <c r="A9" t="s">
        <v>526</v>
      </c>
      <c r="B9">
        <v>0</v>
      </c>
      <c r="C9" t="s">
        <v>521</v>
      </c>
      <c r="D9" t="s">
        <v>1273</v>
      </c>
      <c r="E9">
        <v>1</v>
      </c>
      <c r="F9">
        <v>1</v>
      </c>
      <c r="G9">
        <f>VLOOKUP(Table_Collate[[#This Row],[Practice ID]],ACM,4,FALSE)</f>
        <v>0</v>
      </c>
      <c r="H9">
        <f>_xlfn.IFNA(VLOOKUP(Table_Collate[[#This Row],[Current State]],Score,2,FALSE),0)</f>
        <v>0</v>
      </c>
      <c r="J9" t="s">
        <v>1271</v>
      </c>
      <c r="K9">
        <f>COUNTIFS(Table_Collate[Anti-Pattern],0,Table_Collate[Domain],Table_Aggregate[[#This Row],[Domain]],Table_Collate[Maturity Indicator Level],1,Table_Collate[Complete],1)</f>
        <v>0</v>
      </c>
      <c r="L9">
        <f>COUNTIFS(Table_Collate[Anti-Pattern],1,Table_Collate[Domain],Table_Aggregate[[#This Row],[Domain]],Table_Collate[Maturity Indicator Level],1,Table_Collate[Complete],1)</f>
        <v>0</v>
      </c>
      <c r="M9">
        <f>COUNTIFS(Table_Collate[Anti-Pattern],0,Table_Collate[Domain],Table_Aggregate[[#This Row],[Domain]],Table_Collate[Maturity Indicator Level],2,Table_Collate[Complete],1)</f>
        <v>0</v>
      </c>
      <c r="N9">
        <f>COUNTIFS(Table_Collate[Anti-Pattern],1,Table_Collate[Domain],Table_Aggregate[[#This Row],[Domain]],Table_Collate[Maturity Indicator Level],2,Table_Collate[Complete],1)</f>
        <v>0</v>
      </c>
      <c r="O9">
        <f>COUNTIFS(Table_Collate[Anti-Pattern],0,Table_Collate[Domain],Table_Aggregate[[#This Row],[Domain]],Table_Collate[Maturity Indicator Level],3,Table_Collate[Complete],1)</f>
        <v>0</v>
      </c>
      <c r="P9">
        <f>COUNTIFS(Table_Collate[Anti-Pattern],1,Table_Collate[Domain],Table_Aggregate[[#This Row],[Domain]],Table_Collate[Maturity Indicator Level],3,Table_Collate[Complete],1)</f>
        <v>0</v>
      </c>
      <c r="Q9">
        <f>COUNTIFS(Table_Collate[Anti-Pattern],0,Table_Collate[Domain],Table_Aggregate[[#This Row],[Domain]],Table_Collate[Maturity Indicator Level],1,Table_Collate[Complete],0)</f>
        <v>2</v>
      </c>
      <c r="R9">
        <f>COUNTIFS(Table_Collate[Anti-Pattern],1,Table_Collate[Domain],Table_Aggregate[[#This Row],[Domain]],Table_Collate[Maturity Indicator Level],1,Table_Collate[Complete],0)</f>
        <v>0</v>
      </c>
      <c r="S9">
        <f>COUNTIFS(Table_Collate[Anti-Pattern],0,Table_Collate[Domain],Table_Aggregate[[#This Row],[Domain]],Table_Collate[Maturity Indicator Level],2,Table_Collate[Complete],0)</f>
        <v>7</v>
      </c>
      <c r="T9">
        <f>COUNTIFS(Table_Collate[Anti-Pattern],1,Table_Collate[Domain],Table_Aggregate[[#This Row],[Domain]],Table_Collate[Maturity Indicator Level],2,Table_Collate[Complete],0)</f>
        <v>3</v>
      </c>
      <c r="U9">
        <f>COUNTIFS(Table_Collate[Anti-Pattern],0,Table_Collate[Domain],Table_Aggregate[[#This Row],[Domain]],Table_Collate[Maturity Indicator Level],3,Table_Collate[Complete],0)</f>
        <v>6</v>
      </c>
      <c r="V9">
        <f>COUNTIFS(Table_Collate[Anti-Pattern],1,Table_Collate[Domain],Table_Aggregate[[#This Row],[Domain]],Table_Collate[Maturity Indicator Level],3,Table_Collate[Complete],0)</f>
        <v>1</v>
      </c>
      <c r="X9" t="s">
        <v>1679</v>
      </c>
      <c r="Y9" t="s">
        <v>80</v>
      </c>
      <c r="Z9" t="s">
        <v>1699</v>
      </c>
      <c r="AA9" t="s">
        <v>1700</v>
      </c>
      <c r="AB9" s="27">
        <v>0.08</v>
      </c>
      <c r="AC9" s="29">
        <v>60</v>
      </c>
      <c r="AD9">
        <f>IFERROR(VLOOKUP(Table_Collate_Criticality_Assessment_Tool[[#This Row],[ID]],CAT,4,FALSE),0)</f>
        <v>0</v>
      </c>
      <c r="AE9" cm="1">
        <f t="array" aca="1" ref="AE9" ca="1">IFERROR(_xlfn.XLOOKUP(Table_Collate_Criticality_Assessment_Tool[[#This Row],[Response]],INDIRECT(Table_Collate_Criticality_Assessment_Tool[[#This Row],[Response ID]],TRUE),INDIRECT(Table_Collate_Criticality_Assessment_Tool[[#This Row],[Answer ID]],TRUE)),0)</f>
        <v>0</v>
      </c>
      <c r="AF9">
        <f ca="1">Table_Collate_Criticality_Assessment_Tool[[#This Row],[Question Weight]]*Table_Collate_Criticality_Assessment_Tool[[#This Row],[Subsector Weight]]*Table_Collate_Criticality_Assessment_Tool[[#This Row],[Score]]</f>
        <v>0</v>
      </c>
      <c r="AH9" s="30" t="s">
        <v>1701</v>
      </c>
    </row>
    <row r="10" spans="1:35">
      <c r="A10" t="s">
        <v>529</v>
      </c>
      <c r="B10">
        <v>0</v>
      </c>
      <c r="C10" t="s">
        <v>521</v>
      </c>
      <c r="D10" t="s">
        <v>1273</v>
      </c>
      <c r="E10">
        <v>2</v>
      </c>
      <c r="F10">
        <v>2</v>
      </c>
      <c r="G10">
        <f>VLOOKUP(Table_Collate[[#This Row],[Practice ID]],ACM,4,FALSE)</f>
        <v>0</v>
      </c>
      <c r="H10">
        <f>_xlfn.IFNA(VLOOKUP(Table_Collate[[#This Row],[Current State]],Score,2,FALSE),0)</f>
        <v>0</v>
      </c>
      <c r="J10" t="s">
        <v>1277</v>
      </c>
      <c r="K10">
        <f>COUNTIFS(Table_Collate[Anti-Pattern],0,Table_Collate[Domain],Table_Aggregate[[#This Row],[Domain]],Table_Collate[Maturity Indicator Level],1,Table_Collate[Complete],1)</f>
        <v>0</v>
      </c>
      <c r="L10">
        <f>COUNTIFS(Table_Collate[Anti-Pattern],1,Table_Collate[Domain],Table_Aggregate[[#This Row],[Domain]],Table_Collate[Maturity Indicator Level],1,Table_Collate[Complete],1)</f>
        <v>0</v>
      </c>
      <c r="M10">
        <f>COUNTIFS(Table_Collate[Anti-Pattern],0,Table_Collate[Domain],Table_Aggregate[[#This Row],[Domain]],Table_Collate[Maturity Indicator Level],2,Table_Collate[Complete],1)</f>
        <v>0</v>
      </c>
      <c r="N10">
        <f>COUNTIFS(Table_Collate[Anti-Pattern],1,Table_Collate[Domain],Table_Aggregate[[#This Row],[Domain]],Table_Collate[Maturity Indicator Level],2,Table_Collate[Complete],1)</f>
        <v>0</v>
      </c>
      <c r="O10">
        <f>COUNTIFS(Table_Collate[Anti-Pattern],0,Table_Collate[Domain],Table_Aggregate[[#This Row],[Domain]],Table_Collate[Maturity Indicator Level],3,Table_Collate[Complete],1)</f>
        <v>0</v>
      </c>
      <c r="P10">
        <f>COUNTIFS(Table_Collate[Anti-Pattern],1,Table_Collate[Domain],Table_Aggregate[[#This Row],[Domain]],Table_Collate[Maturity Indicator Level],3,Table_Collate[Complete],1)</f>
        <v>0</v>
      </c>
      <c r="Q10">
        <f>COUNTIFS(Table_Collate[Anti-Pattern],0,Table_Collate[Domain],Table_Aggregate[[#This Row],[Domain]],Table_Collate[Maturity Indicator Level],1,Table_Collate[Complete],0)</f>
        <v>3</v>
      </c>
      <c r="R10">
        <f>COUNTIFS(Table_Collate[Anti-Pattern],1,Table_Collate[Domain],Table_Aggregate[[#This Row],[Domain]],Table_Collate[Maturity Indicator Level],1,Table_Collate[Complete],0)</f>
        <v>1</v>
      </c>
      <c r="S10">
        <f>COUNTIFS(Table_Collate[Anti-Pattern],0,Table_Collate[Domain],Table_Aggregate[[#This Row],[Domain]],Table_Collate[Maturity Indicator Level],2,Table_Collate[Complete],0)</f>
        <v>9</v>
      </c>
      <c r="T10">
        <f>COUNTIFS(Table_Collate[Anti-Pattern],1,Table_Collate[Domain],Table_Aggregate[[#This Row],[Domain]],Table_Collate[Maturity Indicator Level],2,Table_Collate[Complete],0)</f>
        <v>8</v>
      </c>
      <c r="U10">
        <f>COUNTIFS(Table_Collate[Anti-Pattern],0,Table_Collate[Domain],Table_Aggregate[[#This Row],[Domain]],Table_Collate[Maturity Indicator Level],3,Table_Collate[Complete],0)</f>
        <v>10</v>
      </c>
      <c r="V10">
        <f>COUNTIFS(Table_Collate[Anti-Pattern],1,Table_Collate[Domain],Table_Aggregate[[#This Row],[Domain]],Table_Collate[Maturity Indicator Level],3,Table_Collate[Complete],0)</f>
        <v>2</v>
      </c>
      <c r="X10" t="s">
        <v>1679</v>
      </c>
      <c r="Y10" t="s">
        <v>83</v>
      </c>
      <c r="Z10" t="s">
        <v>1702</v>
      </c>
      <c r="AA10" t="s">
        <v>1703</v>
      </c>
      <c r="AB10" s="27">
        <v>0.1</v>
      </c>
      <c r="AC10" s="29">
        <v>60</v>
      </c>
      <c r="AD10">
        <f>IFERROR(VLOOKUP(Table_Collate_Criticality_Assessment_Tool[[#This Row],[ID]],CAT,4,FALSE),0)</f>
        <v>0</v>
      </c>
      <c r="AE10" cm="1">
        <f t="array" aca="1" ref="AE10" ca="1">IFERROR(_xlfn.XLOOKUP(Table_Collate_Criticality_Assessment_Tool[[#This Row],[Response]],INDIRECT(Table_Collate_Criticality_Assessment_Tool[[#This Row],[Response ID]],TRUE),INDIRECT(Table_Collate_Criticality_Assessment_Tool[[#This Row],[Answer ID]],TRUE)),0)</f>
        <v>0</v>
      </c>
      <c r="AF10">
        <f ca="1">Table_Collate_Criticality_Assessment_Tool[[#This Row],[Question Weight]]*Table_Collate_Criticality_Assessment_Tool[[#This Row],[Subsector Weight]]*Table_Collate_Criticality_Assessment_Tool[[#This Row],[Score]]</f>
        <v>0</v>
      </c>
      <c r="AH10" s="1" t="str">
        <f ca="1">_xlfn.LET(_xlpm.criticalityScore,(MAX(Table_Aggregate_Criticality_Assessment_Tool[Total Weighted Score])/100),IF(AND(_xlpm.criticalityScore&gt;0,_xlpm.criticalityScore&lt;=1/3),"Low",IF(AND(_xlpm.criticalityScore&gt;1/3,_xlpm.criticalityScore&lt;=2/3),"Moderate",IF(AND(_xlpm.criticalityScore&gt;2/3,_xlpm.criticalityScore&lt;=1),"High","N/A"))))</f>
        <v>N/A</v>
      </c>
    </row>
    <row r="11" spans="1:35">
      <c r="A11" t="s">
        <v>532</v>
      </c>
      <c r="B11">
        <v>0</v>
      </c>
      <c r="C11" t="s">
        <v>521</v>
      </c>
      <c r="D11" t="s">
        <v>1273</v>
      </c>
      <c r="E11">
        <v>3</v>
      </c>
      <c r="F11">
        <v>3</v>
      </c>
      <c r="G11">
        <f>VLOOKUP(Table_Collate[[#This Row],[Practice ID]],ACM,4,FALSE)</f>
        <v>0</v>
      </c>
      <c r="H11">
        <f>_xlfn.IFNA(VLOOKUP(Table_Collate[[#This Row],[Current State]],Score,2,FALSE),0)</f>
        <v>0</v>
      </c>
      <c r="J11" t="s">
        <v>1276</v>
      </c>
      <c r="K11">
        <f>COUNTIFS(Table_Collate[Anti-Pattern],0,Table_Collate[Domain],Table_Aggregate[[#This Row],[Domain]],Table_Collate[Maturity Indicator Level],1,Table_Collate[Complete],1)</f>
        <v>0</v>
      </c>
      <c r="L11">
        <f>COUNTIFS(Table_Collate[Anti-Pattern],1,Table_Collate[Domain],Table_Aggregate[[#This Row],[Domain]],Table_Collate[Maturity Indicator Level],1,Table_Collate[Complete],1)</f>
        <v>0</v>
      </c>
      <c r="M11">
        <f>COUNTIFS(Table_Collate[Anti-Pattern],0,Table_Collate[Domain],Table_Aggregate[[#This Row],[Domain]],Table_Collate[Maturity Indicator Level],2,Table_Collate[Complete],1)</f>
        <v>0</v>
      </c>
      <c r="N11">
        <f>COUNTIFS(Table_Collate[Anti-Pattern],1,Table_Collate[Domain],Table_Aggregate[[#This Row],[Domain]],Table_Collate[Maturity Indicator Level],2,Table_Collate[Complete],1)</f>
        <v>0</v>
      </c>
      <c r="O11">
        <f>COUNTIFS(Table_Collate[Anti-Pattern],0,Table_Collate[Domain],Table_Aggregate[[#This Row],[Domain]],Table_Collate[Maturity Indicator Level],3,Table_Collate[Complete],1)</f>
        <v>0</v>
      </c>
      <c r="P11">
        <f>COUNTIFS(Table_Collate[Anti-Pattern],1,Table_Collate[Domain],Table_Aggregate[[#This Row],[Domain]],Table_Collate[Maturity Indicator Level],3,Table_Collate[Complete],1)</f>
        <v>0</v>
      </c>
      <c r="Q11">
        <f>COUNTIFS(Table_Collate[Anti-Pattern],0,Table_Collate[Domain],Table_Aggregate[[#This Row],[Domain]],Table_Collate[Maturity Indicator Level],1,Table_Collate[Complete],0)</f>
        <v>6</v>
      </c>
      <c r="R11">
        <f>COUNTIFS(Table_Collate[Anti-Pattern],1,Table_Collate[Domain],Table_Aggregate[[#This Row],[Domain]],Table_Collate[Maturity Indicator Level],1,Table_Collate[Complete],0)</f>
        <v>1</v>
      </c>
      <c r="S11">
        <f>COUNTIFS(Table_Collate[Anti-Pattern],0,Table_Collate[Domain],Table_Aggregate[[#This Row],[Domain]],Table_Collate[Maturity Indicator Level],2,Table_Collate[Complete],0)</f>
        <v>9</v>
      </c>
      <c r="T11">
        <f>COUNTIFS(Table_Collate[Anti-Pattern],1,Table_Collate[Domain],Table_Aggregate[[#This Row],[Domain]],Table_Collate[Maturity Indicator Level],2,Table_Collate[Complete],0)</f>
        <v>2</v>
      </c>
      <c r="U11">
        <f>COUNTIFS(Table_Collate[Anti-Pattern],0,Table_Collate[Domain],Table_Aggregate[[#This Row],[Domain]],Table_Collate[Maturity Indicator Level],3,Table_Collate[Complete],0)</f>
        <v>9</v>
      </c>
      <c r="V11">
        <f>COUNTIFS(Table_Collate[Anti-Pattern],1,Table_Collate[Domain],Table_Aggregate[[#This Row],[Domain]],Table_Collate[Maturity Indicator Level],3,Table_Collate[Complete],0)</f>
        <v>0</v>
      </c>
      <c r="X11" t="s">
        <v>1679</v>
      </c>
      <c r="Y11" t="s">
        <v>86</v>
      </c>
      <c r="Z11" t="s">
        <v>1704</v>
      </c>
      <c r="AA11" t="s">
        <v>1705</v>
      </c>
      <c r="AB11" s="27">
        <v>0.05</v>
      </c>
      <c r="AC11" s="29">
        <v>60</v>
      </c>
      <c r="AD11">
        <f>IFERROR(VLOOKUP(Table_Collate_Criticality_Assessment_Tool[[#This Row],[ID]],CAT,4,FALSE),0)</f>
        <v>0</v>
      </c>
      <c r="AE11" cm="1">
        <f t="array" aca="1" ref="AE11" ca="1">IFERROR(_xlfn.XLOOKUP(Table_Collate_Criticality_Assessment_Tool[[#This Row],[Response]],INDIRECT(Table_Collate_Criticality_Assessment_Tool[[#This Row],[Response ID]],TRUE),INDIRECT(Table_Collate_Criticality_Assessment_Tool[[#This Row],[Answer ID]],TRUE)),0)</f>
        <v>0</v>
      </c>
      <c r="AF11">
        <f ca="1">Table_Collate_Criticality_Assessment_Tool[[#This Row],[Question Weight]]*Table_Collate_Criticality_Assessment_Tool[[#This Row],[Subsector Weight]]*Table_Collate_Criticality_Assessment_Tool[[#This Row],[Score]]</f>
        <v>0</v>
      </c>
    </row>
    <row r="12" spans="1:35">
      <c r="A12" t="s">
        <v>535</v>
      </c>
      <c r="B12">
        <v>0</v>
      </c>
      <c r="C12" t="s">
        <v>521</v>
      </c>
      <c r="D12" t="s">
        <v>1273</v>
      </c>
      <c r="E12">
        <v>3</v>
      </c>
      <c r="F12">
        <v>3</v>
      </c>
      <c r="G12">
        <f>VLOOKUP(Table_Collate[[#This Row],[Practice ID]],ACM,4,FALSE)</f>
        <v>0</v>
      </c>
      <c r="H12">
        <f>_xlfn.IFNA(VLOOKUP(Table_Collate[[#This Row],[Current State]],Score,2,FALSE),0)</f>
        <v>0</v>
      </c>
      <c r="J12" t="s">
        <v>1280</v>
      </c>
      <c r="K12">
        <f>COUNTIFS(Table_Collate[Anti-Pattern],0,Table_Collate[Domain],Table_Aggregate[[#This Row],[Domain]],Table_Collate[Maturity Indicator Level],1,Table_Collate[Complete],1)</f>
        <v>0</v>
      </c>
      <c r="L12">
        <f>COUNTIFS(Table_Collate[Anti-Pattern],1,Table_Collate[Domain],Table_Aggregate[[#This Row],[Domain]],Table_Collate[Maturity Indicator Level],1,Table_Collate[Complete],1)</f>
        <v>0</v>
      </c>
      <c r="M12">
        <f>COUNTIFS(Table_Collate[Anti-Pattern],0,Table_Collate[Domain],Table_Aggregate[[#This Row],[Domain]],Table_Collate[Maturity Indicator Level],2,Table_Collate[Complete],1)</f>
        <v>0</v>
      </c>
      <c r="N12">
        <f>COUNTIFS(Table_Collate[Anti-Pattern],1,Table_Collate[Domain],Table_Aggregate[[#This Row],[Domain]],Table_Collate[Maturity Indicator Level],2,Table_Collate[Complete],1)</f>
        <v>0</v>
      </c>
      <c r="O12">
        <f>COUNTIFS(Table_Collate[Anti-Pattern],0,Table_Collate[Domain],Table_Aggregate[[#This Row],[Domain]],Table_Collate[Maturity Indicator Level],3,Table_Collate[Complete],1)</f>
        <v>0</v>
      </c>
      <c r="P12">
        <f>COUNTIFS(Table_Collate[Anti-Pattern],1,Table_Collate[Domain],Table_Aggregate[[#This Row],[Domain]],Table_Collate[Maturity Indicator Level],3,Table_Collate[Complete],1)</f>
        <v>0</v>
      </c>
      <c r="Q12">
        <f>COUNTIFS(Table_Collate[Anti-Pattern],0,Table_Collate[Domain],Table_Aggregate[[#This Row],[Domain]],Table_Collate[Maturity Indicator Level],1,Table_Collate[Complete],0)</f>
        <v>6</v>
      </c>
      <c r="R12">
        <f>COUNTIFS(Table_Collate[Anti-Pattern],1,Table_Collate[Domain],Table_Aggregate[[#This Row],[Domain]],Table_Collate[Maturity Indicator Level],1,Table_Collate[Complete],0)</f>
        <v>0</v>
      </c>
      <c r="S12">
        <f>COUNTIFS(Table_Collate[Anti-Pattern],0,Table_Collate[Domain],Table_Aggregate[[#This Row],[Domain]],Table_Collate[Maturity Indicator Level],2,Table_Collate[Complete],0)</f>
        <v>9</v>
      </c>
      <c r="T12">
        <f>COUNTIFS(Table_Collate[Anti-Pattern],1,Table_Collate[Domain],Table_Aggregate[[#This Row],[Domain]],Table_Collate[Maturity Indicator Level],2,Table_Collate[Complete],0)</f>
        <v>0</v>
      </c>
      <c r="U12">
        <f>COUNTIFS(Table_Collate[Anti-Pattern],0,Table_Collate[Domain],Table_Aggregate[[#This Row],[Domain]],Table_Collate[Maturity Indicator Level],3,Table_Collate[Complete],0)</f>
        <v>14</v>
      </c>
      <c r="V12">
        <f>COUNTIFS(Table_Collate[Anti-Pattern],1,Table_Collate[Domain],Table_Aggregate[[#This Row],[Domain]],Table_Collate[Maturity Indicator Level],3,Table_Collate[Complete],0)</f>
        <v>3</v>
      </c>
      <c r="X12" t="s">
        <v>1679</v>
      </c>
      <c r="Y12" t="s">
        <v>89</v>
      </c>
      <c r="Z12" t="s">
        <v>1706</v>
      </c>
      <c r="AA12" t="s">
        <v>1707</v>
      </c>
      <c r="AB12" s="27">
        <v>0</v>
      </c>
      <c r="AC12" s="29">
        <v>60</v>
      </c>
      <c r="AD12">
        <f>IFERROR(VLOOKUP(Table_Collate_Criticality_Assessment_Tool[[#This Row],[ID]],CAT,4,FALSE),0)</f>
        <v>0</v>
      </c>
      <c r="AE12" cm="1">
        <f t="array" aca="1" ref="AE12" ca="1">IFERROR(_xlfn.XLOOKUP(Table_Collate_Criticality_Assessment_Tool[[#This Row],[Response]],INDIRECT(Table_Collate_Criticality_Assessment_Tool[[#This Row],[Response ID]],TRUE),INDIRECT(Table_Collate_Criticality_Assessment_Tool[[#This Row],[Answer ID]],TRUE)),0)</f>
        <v>0</v>
      </c>
      <c r="AF12">
        <f ca="1">Table_Collate_Criticality_Assessment_Tool[[#This Row],[Question Weight]]*Table_Collate_Criticality_Assessment_Tool[[#This Row],[Subsector Weight]]*Table_Collate_Criticality_Assessment_Tool[[#This Row],[Score]]</f>
        <v>0</v>
      </c>
    </row>
    <row r="13" spans="1:35">
      <c r="A13" t="s">
        <v>540</v>
      </c>
      <c r="B13">
        <v>0</v>
      </c>
      <c r="C13" t="s">
        <v>538</v>
      </c>
      <c r="D13" t="s">
        <v>1273</v>
      </c>
      <c r="E13">
        <v>1</v>
      </c>
      <c r="F13">
        <v>1</v>
      </c>
      <c r="G13">
        <f>VLOOKUP(Table_Collate[[#This Row],[Practice ID]],ACM,4,FALSE)</f>
        <v>0</v>
      </c>
      <c r="H13">
        <f>_xlfn.IFNA(VLOOKUP(Table_Collate[[#This Row],[Current State]],Score,2,FALSE),0)</f>
        <v>0</v>
      </c>
      <c r="J13" t="s">
        <v>1708</v>
      </c>
      <c r="K13">
        <f>SUBTOTAL(109,Table_Aggregate[MIL 1 Complete])</f>
        <v>4</v>
      </c>
      <c r="L13">
        <f>SUBTOTAL(109,Table_Aggregate[MIL 1 AP Not Present])</f>
        <v>0</v>
      </c>
      <c r="M13">
        <f>SUBTOTAL(109,Table_Aggregate[MIL 2 Complete])</f>
        <v>14</v>
      </c>
      <c r="N13">
        <f>SUBTOTAL(109,Table_Aggregate[MIL 2 AP Not Present])</f>
        <v>2</v>
      </c>
      <c r="O13">
        <f>SUBTOTAL(109,Table_Aggregate[MIL 3 Complete])</f>
        <v>7</v>
      </c>
      <c r="P13">
        <f>SUBTOTAL(109,Table_Aggregate[MIL 3 AP Not Present])</f>
        <v>0</v>
      </c>
      <c r="Q13">
        <f>SUBTOTAL(109,Table_Aggregate[MIL 1 Not Complete])</f>
        <v>50</v>
      </c>
      <c r="R13">
        <f>SUBTOTAL(109,Table_Aggregate[MIL 1 AP Present])</f>
        <v>3</v>
      </c>
      <c r="S13">
        <f>SUBTOTAL(109,Table_Aggregate[MIL 2 Not Complete])</f>
        <v>80</v>
      </c>
      <c r="T13">
        <f>SUBTOTAL(109,Table_Aggregate[MIL 2 AP Present])</f>
        <v>25</v>
      </c>
      <c r="U13">
        <f>SUBTOTAL(109,Table_Aggregate[MIL 3 Not Complete])</f>
        <v>85</v>
      </c>
      <c r="V13">
        <f>SUBTOTAL(109,Table_Aggregate[MIL 3 AP Present])</f>
        <v>12</v>
      </c>
      <c r="X13" t="s">
        <v>1684</v>
      </c>
      <c r="Y13" t="s">
        <v>93</v>
      </c>
      <c r="Z13" t="s">
        <v>1709</v>
      </c>
      <c r="AA13" t="s">
        <v>1710</v>
      </c>
      <c r="AB13" s="27">
        <v>1</v>
      </c>
      <c r="AC13" s="29">
        <v>1</v>
      </c>
      <c r="AD13">
        <f>IFERROR(VLOOKUP(Table_Collate_Criticality_Assessment_Tool[[#This Row],[ID]],CAT,4,FALSE),0)</f>
        <v>0</v>
      </c>
      <c r="AE13" cm="1">
        <f t="array" aca="1" ref="AE13" ca="1">IFERROR(_xlfn.XLOOKUP(Table_Collate_Criticality_Assessment_Tool[[#This Row],[Response]],INDIRECT(Table_Collate_Criticality_Assessment_Tool[[#This Row],[Response ID]],TRUE),INDIRECT(Table_Collate_Criticality_Assessment_Tool[[#This Row],[Answer ID]],TRUE)),0)</f>
        <v>0</v>
      </c>
      <c r="AF13">
        <f ca="1">Table_Collate_Criticality_Assessment_Tool[[#This Row],[Question Weight]]*Table_Collate_Criticality_Assessment_Tool[[#This Row],[Subsector Weight]]*Table_Collate_Criticality_Assessment_Tool[[#This Row],[Score]]</f>
        <v>0</v>
      </c>
    </row>
    <row r="14" spans="1:35">
      <c r="A14" t="s">
        <v>543</v>
      </c>
      <c r="B14">
        <v>0</v>
      </c>
      <c r="C14" t="s">
        <v>538</v>
      </c>
      <c r="D14" t="s">
        <v>1273</v>
      </c>
      <c r="E14">
        <v>1</v>
      </c>
      <c r="F14">
        <v>1</v>
      </c>
      <c r="G14">
        <f>VLOOKUP(Table_Collate[[#This Row],[Practice ID]],ACM,4,FALSE)</f>
        <v>0</v>
      </c>
      <c r="H14">
        <f>_xlfn.IFNA(VLOOKUP(Table_Collate[[#This Row],[Current State]],Score,2,FALSE),0)</f>
        <v>0</v>
      </c>
      <c r="X14" t="s">
        <v>1684</v>
      </c>
      <c r="Y14" t="s">
        <v>96</v>
      </c>
      <c r="Z14" t="s">
        <v>1711</v>
      </c>
      <c r="AA14" t="s">
        <v>1712</v>
      </c>
      <c r="AB14" s="27">
        <v>0.8</v>
      </c>
      <c r="AC14" s="29">
        <v>20</v>
      </c>
      <c r="AD14">
        <f>IFERROR(VLOOKUP(Table_Collate_Criticality_Assessment_Tool[[#This Row],[ID]],CAT,4,FALSE),0)</f>
        <v>0</v>
      </c>
      <c r="AE14" cm="1">
        <f t="array" aca="1" ref="AE14" ca="1">IFERROR(_xlfn.XLOOKUP(Table_Collate_Criticality_Assessment_Tool[[#This Row],[Response]],INDIRECT(Table_Collate_Criticality_Assessment_Tool[[#This Row],[Response ID]],TRUE),INDIRECT(Table_Collate_Criticality_Assessment_Tool[[#This Row],[Answer ID]],TRUE)),0)</f>
        <v>0</v>
      </c>
      <c r="AF14">
        <f ca="1">Table_Collate_Criticality_Assessment_Tool[[#This Row],[Question Weight]]*Table_Collate_Criticality_Assessment_Tool[[#This Row],[Subsector Weight]]*Table_Collate_Criticality_Assessment_Tool[[#This Row],[Score]]</f>
        <v>0</v>
      </c>
    </row>
    <row r="15" spans="1:35" ht="13.5" thickBot="1">
      <c r="A15" t="s">
        <v>546</v>
      </c>
      <c r="B15">
        <v>0</v>
      </c>
      <c r="C15" t="s">
        <v>538</v>
      </c>
      <c r="D15" t="s">
        <v>1273</v>
      </c>
      <c r="E15">
        <v>2</v>
      </c>
      <c r="F15">
        <v>1</v>
      </c>
      <c r="G15">
        <f>VLOOKUP(Table_Collate[[#This Row],[Practice ID]],ACM,4,FALSE)</f>
        <v>0</v>
      </c>
      <c r="H15">
        <f>_xlfn.IFNA(VLOOKUP(Table_Collate[[#This Row],[Current State]],Score,2,FALSE),0)</f>
        <v>0</v>
      </c>
      <c r="J15" s="60" t="s">
        <v>1713</v>
      </c>
      <c r="K15" s="60"/>
      <c r="L15" s="60" t="s">
        <v>1714</v>
      </c>
      <c r="M15" s="60"/>
      <c r="X15" t="s">
        <v>1684</v>
      </c>
      <c r="Y15" t="s">
        <v>99</v>
      </c>
      <c r="Z15" t="s">
        <v>1715</v>
      </c>
      <c r="AA15" t="s">
        <v>1716</v>
      </c>
      <c r="AB15" s="27">
        <v>0.2</v>
      </c>
      <c r="AC15" s="29">
        <v>20</v>
      </c>
      <c r="AD15">
        <f>IFERROR(VLOOKUP(Table_Collate_Criticality_Assessment_Tool[[#This Row],[ID]],CAT,4,FALSE),0)</f>
        <v>0</v>
      </c>
      <c r="AE15" cm="1">
        <f t="array" aca="1" ref="AE15" ca="1">IFERROR(_xlfn.XLOOKUP(Table_Collate_Criticality_Assessment_Tool[[#This Row],[Response]],INDIRECT(Table_Collate_Criticality_Assessment_Tool[[#This Row],[Response ID]],TRUE),INDIRECT(Table_Collate_Criticality_Assessment_Tool[[#This Row],[Answer ID]],TRUE)),0)</f>
        <v>0</v>
      </c>
      <c r="AF15">
        <f ca="1">Table_Collate_Criticality_Assessment_Tool[[#This Row],[Question Weight]]*Table_Collate_Criticality_Assessment_Tool[[#This Row],[Subsector Weight]]*Table_Collate_Criticality_Assessment_Tool[[#This Row],[Score]]</f>
        <v>0</v>
      </c>
    </row>
    <row r="16" spans="1:35">
      <c r="A16" t="s">
        <v>549</v>
      </c>
      <c r="B16">
        <v>0</v>
      </c>
      <c r="C16" t="s">
        <v>538</v>
      </c>
      <c r="D16" t="s">
        <v>1273</v>
      </c>
      <c r="E16">
        <v>2</v>
      </c>
      <c r="F16">
        <v>2</v>
      </c>
      <c r="G16">
        <f>VLOOKUP(Table_Collate[[#This Row],[Practice ID]],ACM,4,FALSE)</f>
        <v>0</v>
      </c>
      <c r="H16">
        <f>_xlfn.IFNA(VLOOKUP(Table_Collate[[#This Row],[Current State]],Score,2,FALSE),0)</f>
        <v>0</v>
      </c>
      <c r="J16" s="34" t="s">
        <v>1655</v>
      </c>
      <c r="K16" s="34" t="s">
        <v>1717</v>
      </c>
      <c r="L16" s="34" t="s">
        <v>1718</v>
      </c>
      <c r="M16" s="34" t="s">
        <v>1719</v>
      </c>
      <c r="X16" t="s">
        <v>1684</v>
      </c>
      <c r="Y16" t="s">
        <v>102</v>
      </c>
      <c r="Z16" t="s">
        <v>1720</v>
      </c>
      <c r="AA16" t="s">
        <v>1721</v>
      </c>
      <c r="AB16" s="27">
        <v>0</v>
      </c>
      <c r="AC16" s="29">
        <v>20</v>
      </c>
      <c r="AD16">
        <f>IFERROR(VLOOKUP(Table_Collate_Criticality_Assessment_Tool[[#This Row],[ID]],CAT,4,FALSE),0)</f>
        <v>0</v>
      </c>
      <c r="AE16" cm="1">
        <f t="array" aca="1" ref="AE16" ca="1">IFERROR(_xlfn.XLOOKUP(Table_Collate_Criticality_Assessment_Tool[[#This Row],[Response]],INDIRECT(Table_Collate_Criticality_Assessment_Tool[[#This Row],[Response ID]],TRUE),INDIRECT(Table_Collate_Criticality_Assessment_Tool[[#This Row],[Answer ID]],TRUE)),0)</f>
        <v>0</v>
      </c>
      <c r="AF16">
        <f ca="1">Table_Collate_Criticality_Assessment_Tool[[#This Row],[Question Weight]]*Table_Collate_Criticality_Assessment_Tool[[#This Row],[Subsector Weight]]*Table_Collate_Criticality_Assessment_Tool[[#This Row],[Score]]</f>
        <v>0</v>
      </c>
    </row>
    <row r="17" spans="1:32">
      <c r="A17" t="s">
        <v>552</v>
      </c>
      <c r="B17">
        <v>0</v>
      </c>
      <c r="C17" t="s">
        <v>538</v>
      </c>
      <c r="D17" t="s">
        <v>1273</v>
      </c>
      <c r="E17">
        <v>3</v>
      </c>
      <c r="F17">
        <v>2</v>
      </c>
      <c r="G17">
        <f>VLOOKUP(Table_Collate[[#This Row],[Practice ID]],ACM,4,FALSE)</f>
        <v>0</v>
      </c>
      <c r="H17">
        <f>_xlfn.IFNA(VLOOKUP(Table_Collate[[#This Row],[Current State]],Score,2,FALSE),0)</f>
        <v>0</v>
      </c>
      <c r="J17" s="1" t="s">
        <v>1270</v>
      </c>
      <c r="K17" s="35">
        <f>_xlfn.IFNA(
((COUNTIFS(Table_Collate[Maturity Indicator Level],1,Table_Collate[Complete],1))/(COUNTIFS(Table_Collate[Maturity Indicator Level],1))),
0
)</f>
        <v>7.0175438596491224E-2</v>
      </c>
      <c r="L17" s="1">
        <f>COUNTIFS(Table_Collate[Maturity Indicator Level],1,Table_Collate[Complete],1)</f>
        <v>4</v>
      </c>
      <c r="M17" s="1">
        <f>COUNTIFS(Table_Collate[Maturity Indicator Level],1,Table_Collate[Complete],0)</f>
        <v>53</v>
      </c>
      <c r="X17" t="s">
        <v>1687</v>
      </c>
      <c r="Y17" t="s">
        <v>104</v>
      </c>
      <c r="Z17" t="s">
        <v>1722</v>
      </c>
      <c r="AA17" t="s">
        <v>1723</v>
      </c>
      <c r="AB17" s="27">
        <v>1</v>
      </c>
      <c r="AC17" s="29">
        <v>1</v>
      </c>
      <c r="AD17">
        <f>IFERROR(VLOOKUP(Table_Collate_Criticality_Assessment_Tool[[#This Row],[ID]],CAT,4,FALSE),0)</f>
        <v>0</v>
      </c>
      <c r="AE17" cm="1">
        <f t="array" aca="1" ref="AE17" ca="1">IFERROR(_xlfn.XLOOKUP(Table_Collate_Criticality_Assessment_Tool[[#This Row],[Response]],INDIRECT(Table_Collate_Criticality_Assessment_Tool[[#This Row],[Response ID]],TRUE),INDIRECT(Table_Collate_Criticality_Assessment_Tool[[#This Row],[Answer ID]],TRUE)),0)</f>
        <v>0</v>
      </c>
      <c r="AF17">
        <f ca="1">Table_Collate_Criticality_Assessment_Tool[[#This Row],[Question Weight]]*Table_Collate_Criticality_Assessment_Tool[[#This Row],[Subsector Weight]]*Table_Collate_Criticality_Assessment_Tool[[#This Row],[Score]]</f>
        <v>0</v>
      </c>
    </row>
    <row r="18" spans="1:32">
      <c r="A18" t="s">
        <v>555</v>
      </c>
      <c r="B18">
        <v>0</v>
      </c>
      <c r="C18" t="s">
        <v>538</v>
      </c>
      <c r="D18" t="s">
        <v>1273</v>
      </c>
      <c r="E18">
        <v>3</v>
      </c>
      <c r="F18">
        <v>3</v>
      </c>
      <c r="G18">
        <f>VLOOKUP(Table_Collate[[#This Row],[Practice ID]],ACM,4,FALSE)</f>
        <v>0</v>
      </c>
      <c r="H18">
        <f>_xlfn.IFNA(VLOOKUP(Table_Collate[[#This Row],[Current State]],Score,2,FALSE),0)</f>
        <v>0</v>
      </c>
      <c r="J18" s="1" t="s">
        <v>1269</v>
      </c>
      <c r="K18" s="35" cm="1">
        <f t="array" ref="K18">_xlfn.IFNA(
_xlfn.IFS(((COUNTIFS(Table_Collate[Maturity Indicator Level],1,Table_Collate[Complete],1))/(COUNTIFS(Table_Collate[Maturity Indicator Level],1)))=1,((COUNTIFS(Table_Collate[Maturity Indicator Level],2,Table_Collate[Complete],1))/(COUNTIFS(Table_Collate[Maturity Indicator Level],2)))),
0
)</f>
        <v>0</v>
      </c>
      <c r="L18" s="1">
        <f>COUNTIFS(Table_Collate[Maturity Indicator Level],2,Table_Collate[Complete],1)</f>
        <v>16</v>
      </c>
      <c r="M18" s="1">
        <f>COUNTIFS(Table_Collate[Maturity Indicator Level],2,Table_Collate[Complete],0)</f>
        <v>105</v>
      </c>
      <c r="X18" t="s">
        <v>1687</v>
      </c>
      <c r="Y18" t="s">
        <v>107</v>
      </c>
      <c r="Z18" t="s">
        <v>1724</v>
      </c>
      <c r="AA18" t="s">
        <v>1725</v>
      </c>
      <c r="AB18" s="27">
        <v>0.8</v>
      </c>
      <c r="AC18" s="29">
        <v>10</v>
      </c>
      <c r="AD18">
        <f>IFERROR(VLOOKUP(Table_Collate_Criticality_Assessment_Tool[[#This Row],[ID]],CAT,4,FALSE),0)</f>
        <v>0</v>
      </c>
      <c r="AE18" cm="1">
        <f t="array" aca="1" ref="AE18" ca="1">IFERROR(_xlfn.XLOOKUP(Table_Collate_Criticality_Assessment_Tool[[#This Row],[Response]],INDIRECT(Table_Collate_Criticality_Assessment_Tool[[#This Row],[Response ID]],TRUE),INDIRECT(Table_Collate_Criticality_Assessment_Tool[[#This Row],[Answer ID]],TRUE)),0)</f>
        <v>0</v>
      </c>
      <c r="AF18">
        <f ca="1">Table_Collate_Criticality_Assessment_Tool[[#This Row],[Question Weight]]*Table_Collate_Criticality_Assessment_Tool[[#This Row],[Subsector Weight]]*Table_Collate_Criticality_Assessment_Tool[[#This Row],[Score]]</f>
        <v>0</v>
      </c>
    </row>
    <row r="19" spans="1:32">
      <c r="A19" t="s">
        <v>560</v>
      </c>
      <c r="B19">
        <v>1</v>
      </c>
      <c r="C19" t="s">
        <v>558</v>
      </c>
      <c r="D19" t="s">
        <v>1273</v>
      </c>
      <c r="E19">
        <v>2</v>
      </c>
      <c r="F19">
        <v>2</v>
      </c>
      <c r="G19">
        <f>VLOOKUP(Table_Collate[[#This Row],[Practice ID]],ACM,4,FALSE)</f>
        <v>0</v>
      </c>
      <c r="H19">
        <f>_xlfn.IFNA(VLOOKUP(Table_Collate[[#This Row],[Current State]],Score,2,FALSE),0)</f>
        <v>0</v>
      </c>
      <c r="J19" s="1" t="s">
        <v>1268</v>
      </c>
      <c r="K19" s="35" cm="1">
        <f t="array" ref="K19">_xlfn.IFNA(
_xlfn.IFS(AND(((COUNTIFS(Table_Collate[Maturity Indicator Level],1,Table_Collate[Complete],1))/(COUNTIFS(Table_Collate[Maturity Indicator Level],1)))=1,((COUNTIFS(Table_Collate[Maturity Indicator Level],2,Table_Collate[Complete],1))/(COUNTIFS(Table_Collate[Maturity Indicator Level],2)))=1),
((COUNTIFS(Table_Collate[Maturity Indicator Level],3,Table_Collate[Complete],1))/(COUNTIFS(Table_Collate[Maturity Indicator Level],3)))),
0
)</f>
        <v>0</v>
      </c>
      <c r="L19" s="1">
        <f>COUNTIFS(Table_Collate[Maturity Indicator Level],3,Table_Collate[Complete],1)</f>
        <v>7</v>
      </c>
      <c r="M19" s="1">
        <f>COUNTIFS(Table_Collate[Maturity Indicator Level],3,Table_Collate[Complete],0)</f>
        <v>97</v>
      </c>
      <c r="X19" t="s">
        <v>1687</v>
      </c>
      <c r="Y19" t="s">
        <v>108</v>
      </c>
      <c r="Z19" t="s">
        <v>1726</v>
      </c>
      <c r="AA19" t="s">
        <v>1727</v>
      </c>
      <c r="AB19" s="27">
        <v>0.2</v>
      </c>
      <c r="AC19" s="29">
        <v>10</v>
      </c>
      <c r="AD19">
        <f>IFERROR(VLOOKUP(Table_Collate_Criticality_Assessment_Tool[[#This Row],[ID]],CAT,4,FALSE),0)</f>
        <v>0</v>
      </c>
      <c r="AE19" cm="1">
        <f t="array" aca="1" ref="AE19" ca="1">IFERROR(_xlfn.XLOOKUP(Table_Collate_Criticality_Assessment_Tool[[#This Row],[Response]],INDIRECT(Table_Collate_Criticality_Assessment_Tool[[#This Row],[Response ID]],TRUE),INDIRECT(Table_Collate_Criticality_Assessment_Tool[[#This Row],[Answer ID]],TRUE)),0)</f>
        <v>0</v>
      </c>
      <c r="AF19">
        <f ca="1">Table_Collate_Criticality_Assessment_Tool[[#This Row],[Question Weight]]*Table_Collate_Criticality_Assessment_Tool[[#This Row],[Subsector Weight]]*Table_Collate_Criticality_Assessment_Tool[[#This Row],[Score]]</f>
        <v>0</v>
      </c>
    </row>
    <row r="20" spans="1:32">
      <c r="A20" t="s">
        <v>563</v>
      </c>
      <c r="B20">
        <v>1</v>
      </c>
      <c r="C20" t="s">
        <v>558</v>
      </c>
      <c r="D20" t="s">
        <v>1273</v>
      </c>
      <c r="E20">
        <v>2</v>
      </c>
      <c r="F20">
        <v>2</v>
      </c>
      <c r="G20">
        <f>VLOOKUP(Table_Collate[[#This Row],[Practice ID]],ACM,4,FALSE)</f>
        <v>0</v>
      </c>
      <c r="H20">
        <f>_xlfn.IFNA(VLOOKUP(Table_Collate[[#This Row],[Current State]],Score,2,FALSE),0)</f>
        <v>0</v>
      </c>
      <c r="X20" t="s">
        <v>1687</v>
      </c>
      <c r="Y20" t="s">
        <v>111</v>
      </c>
      <c r="Z20" t="s">
        <v>1728</v>
      </c>
      <c r="AA20" t="s">
        <v>1729</v>
      </c>
      <c r="AB20" s="27">
        <v>0</v>
      </c>
      <c r="AC20" s="29">
        <v>10</v>
      </c>
      <c r="AD20">
        <f>IFERROR(VLOOKUP(Table_Collate_Criticality_Assessment_Tool[[#This Row],[ID]],CAT,4,FALSE),0)</f>
        <v>0</v>
      </c>
      <c r="AE20" cm="1">
        <f t="array" aca="1" ref="AE20" ca="1">IFERROR(_xlfn.XLOOKUP(Table_Collate_Criticality_Assessment_Tool[[#This Row],[Response]],INDIRECT(Table_Collate_Criticality_Assessment_Tool[[#This Row],[Response ID]],TRUE),INDIRECT(Table_Collate_Criticality_Assessment_Tool[[#This Row],[Answer ID]],TRUE)),0)</f>
        <v>0</v>
      </c>
      <c r="AF20">
        <f ca="1">Table_Collate_Criticality_Assessment_Tool[[#This Row],[Question Weight]]*Table_Collate_Criticality_Assessment_Tool[[#This Row],[Subsector Weight]]*Table_Collate_Criticality_Assessment_Tool[[#This Row],[Score]]</f>
        <v>0</v>
      </c>
    </row>
    <row r="21" spans="1:32" ht="13.5" thickBot="1">
      <c r="A21" t="s">
        <v>566</v>
      </c>
      <c r="B21">
        <v>1</v>
      </c>
      <c r="C21" t="s">
        <v>558</v>
      </c>
      <c r="D21" t="s">
        <v>1273</v>
      </c>
      <c r="E21">
        <v>3</v>
      </c>
      <c r="F21">
        <v>3</v>
      </c>
      <c r="G21">
        <f>VLOOKUP(Table_Collate[[#This Row],[Practice ID]],ACM,4,FALSE)</f>
        <v>0</v>
      </c>
      <c r="H21">
        <f>_xlfn.IFNA(VLOOKUP(Table_Collate[[#This Row],[Current State]],Score,2,FALSE),0)</f>
        <v>0</v>
      </c>
      <c r="J21" s="30" t="s">
        <v>1730</v>
      </c>
      <c r="X21" t="s">
        <v>1690</v>
      </c>
      <c r="Y21" t="s">
        <v>113</v>
      </c>
      <c r="Z21" t="s">
        <v>1731</v>
      </c>
      <c r="AA21" t="s">
        <v>1732</v>
      </c>
      <c r="AB21" s="27">
        <v>1</v>
      </c>
      <c r="AC21" s="29">
        <v>1</v>
      </c>
      <c r="AD21">
        <f>IFERROR(VLOOKUP(Table_Collate_Criticality_Assessment_Tool[[#This Row],[ID]],CAT,4,FALSE),0)</f>
        <v>0</v>
      </c>
      <c r="AE21" cm="1">
        <f t="array" aca="1" ref="AE21" ca="1">IFERROR(_xlfn.XLOOKUP(Table_Collate_Criticality_Assessment_Tool[[#This Row],[Response]],INDIRECT(Table_Collate_Criticality_Assessment_Tool[[#This Row],[Response ID]],TRUE),INDIRECT(Table_Collate_Criticality_Assessment_Tool[[#This Row],[Answer ID]],TRUE)),0)</f>
        <v>0</v>
      </c>
      <c r="AF21">
        <f ca="1">Table_Collate_Criticality_Assessment_Tool[[#This Row],[Question Weight]]*Table_Collate_Criticality_Assessment_Tool[[#This Row],[Subsector Weight]]*Table_Collate_Criticality_Assessment_Tool[[#This Row],[Score]]</f>
        <v>0</v>
      </c>
    </row>
    <row r="22" spans="1:32">
      <c r="A22" t="s">
        <v>1211</v>
      </c>
      <c r="B22">
        <v>0</v>
      </c>
      <c r="C22" t="s">
        <v>1209</v>
      </c>
      <c r="D22" t="s">
        <v>1281</v>
      </c>
      <c r="E22">
        <v>1</v>
      </c>
      <c r="F22">
        <v>1</v>
      </c>
      <c r="G22">
        <f>VLOOKUP(Table_Collate[[#This Row],[Practice ID]],APM,4,FALSE)</f>
        <v>0</v>
      </c>
      <c r="H22">
        <f>_xlfn.IFNA(VLOOKUP(Table_Collate[[#This Row],[Current State]],Score,2,FALSE),0)</f>
        <v>0</v>
      </c>
      <c r="J22" s="33" cm="1">
        <f t="array" ref="J22">_xlfn.IFS(
(((COUNTIFS(Table_Collate[Maturity Indicator Level],1,Table_Collate[Complete],1))/(COUNTIFS(Table_Collate[Maturity Indicator Level],1)))&lt;1),((COUNTIFS(Table_Collate[Maturity Indicator Level],1,Table_Collate[Complete],1))/(COUNTIFS(Table_Collate[Maturity Indicator Level],1))),
AND((((COUNTIFS(Table_Collate[Maturity Indicator Level],1,Table_Collate[Complete],1))/(COUNTIFS(Table_Collate[Maturity Indicator Level],1)))=1),((COUNTIFS(Table_Collate[Maturity Indicator Level],2,Table_Collate[Complete],1))/(COUNTIFS(Table_Collate[Maturity Indicator Level],2)))&lt;1),
(((COUNTIFS(Table_Collate[Maturity Indicator Level],1,Table_Collate[Complete],1))/(COUNTIFS(Table_Collate[Maturity Indicator Level],1)))+((COUNTIFS(Table_Collate[Maturity Indicator Level],2,Table_Collate[Complete],1))/(COUNTIFS(Table_Collate[Maturity Indicator Level],2)))),
AND(((COUNTIFS(Table_Collate[Maturity Indicator Level],1,Table_Collate[Complete],1))/(COUNTIFS(Table_Collate[Maturity Indicator Level],1)))=1,((COUNTIFS(Table_Collate[Maturity Indicator Level],2,Table_Collate[Complete],1))/(COUNTIFS(Table_Collate[Maturity Indicator Level],2)))=1),
(((COUNTIFS(Table_Collate[Maturity Indicator Level],1,Table_Collate[Complete],1))/(COUNTIFS(Table_Collate[Maturity Indicator Level],1)))+((COUNTIFS(Table_Collate[Maturity Indicator Level],2,Table_Collate[Complete],1))/(COUNTIFS(Table_Collate[Maturity Indicator Level],2)))+((COUNTIFS(Table_Collate[Maturity Indicator Level],3,Table_Collate[Complete],1))/(COUNTIFS(Table_Collate[Maturity Indicator Level],3))))
)</f>
        <v>7.0175438596491224E-2</v>
      </c>
      <c r="X22" t="s">
        <v>1690</v>
      </c>
      <c r="Y22" t="s">
        <v>116</v>
      </c>
      <c r="Z22" t="s">
        <v>1733</v>
      </c>
      <c r="AA22" t="s">
        <v>1734</v>
      </c>
      <c r="AB22" s="27">
        <v>0.4</v>
      </c>
      <c r="AC22" s="29">
        <v>40</v>
      </c>
      <c r="AD22">
        <f>IFERROR(VLOOKUP(Table_Collate_Criticality_Assessment_Tool[[#This Row],[ID]],CAT,4,FALSE),0)</f>
        <v>0</v>
      </c>
      <c r="AE22" cm="1">
        <f t="array" aca="1" ref="AE22" ca="1">IFERROR(_xlfn.XLOOKUP(Table_Collate_Criticality_Assessment_Tool[[#This Row],[Response]],INDIRECT(Table_Collate_Criticality_Assessment_Tool[[#This Row],[Response ID]],TRUE),INDIRECT(Table_Collate_Criticality_Assessment_Tool[[#This Row],[Answer ID]],TRUE)),0)</f>
        <v>0</v>
      </c>
      <c r="AF22">
        <f ca="1">Table_Collate_Criticality_Assessment_Tool[[#This Row],[Question Weight]]*Table_Collate_Criticality_Assessment_Tool[[#This Row],[Subsector Weight]]*Table_Collate_Criticality_Assessment_Tool[[#This Row],[Score]]</f>
        <v>0</v>
      </c>
    </row>
    <row r="23" spans="1:32">
      <c r="A23" t="s">
        <v>1214</v>
      </c>
      <c r="B23">
        <v>0</v>
      </c>
      <c r="C23" t="s">
        <v>1209</v>
      </c>
      <c r="D23" t="s">
        <v>1281</v>
      </c>
      <c r="E23">
        <v>1</v>
      </c>
      <c r="F23">
        <v>1</v>
      </c>
      <c r="G23">
        <f>VLOOKUP(Table_Collate[[#This Row],[Practice ID]],APM,4,FALSE)</f>
        <v>0</v>
      </c>
      <c r="H23">
        <f>_xlfn.IFNA(VLOOKUP(Table_Collate[[#This Row],[Current State]],Score,2,FALSE),0)</f>
        <v>0</v>
      </c>
      <c r="X23" t="s">
        <v>1690</v>
      </c>
      <c r="Y23" t="s">
        <v>119</v>
      </c>
      <c r="Z23" t="s">
        <v>1735</v>
      </c>
      <c r="AA23" t="s">
        <v>1736</v>
      </c>
      <c r="AB23" s="27">
        <v>0.4</v>
      </c>
      <c r="AC23" s="29">
        <v>40</v>
      </c>
      <c r="AD23">
        <f>IFERROR(VLOOKUP(Table_Collate_Criticality_Assessment_Tool[[#This Row],[ID]],CAT,4,FALSE),0)</f>
        <v>0</v>
      </c>
      <c r="AE23" cm="1">
        <f t="array" aca="1" ref="AE23" ca="1">IFERROR(_xlfn.XLOOKUP(Table_Collate_Criticality_Assessment_Tool[[#This Row],[Response]],INDIRECT(Table_Collate_Criticality_Assessment_Tool[[#This Row],[Response ID]],TRUE),INDIRECT(Table_Collate_Criticality_Assessment_Tool[[#This Row],[Answer ID]],TRUE)),0)</f>
        <v>0</v>
      </c>
      <c r="AF23">
        <f ca="1">Table_Collate_Criticality_Assessment_Tool[[#This Row],[Question Weight]]*Table_Collate_Criticality_Assessment_Tool[[#This Row],[Subsector Weight]]*Table_Collate_Criticality_Assessment_Tool[[#This Row],[Score]]</f>
        <v>0</v>
      </c>
    </row>
    <row r="24" spans="1:32" ht="13.5" thickBot="1">
      <c r="A24" t="s">
        <v>1217</v>
      </c>
      <c r="B24">
        <v>0</v>
      </c>
      <c r="C24" t="s">
        <v>1209</v>
      </c>
      <c r="D24" t="s">
        <v>1281</v>
      </c>
      <c r="E24">
        <v>1</v>
      </c>
      <c r="F24">
        <v>1</v>
      </c>
      <c r="G24">
        <f>VLOOKUP(Table_Collate[[#This Row],[Practice ID]],APM,4,FALSE)</f>
        <v>0</v>
      </c>
      <c r="H24">
        <f>_xlfn.IFNA(VLOOKUP(Table_Collate[[#This Row],[Current State]],Score,2,FALSE),0)</f>
        <v>0</v>
      </c>
      <c r="J24" s="30" t="s">
        <v>1737</v>
      </c>
      <c r="X24" t="s">
        <v>1690</v>
      </c>
      <c r="Y24" t="s">
        <v>120</v>
      </c>
      <c r="Z24" t="s">
        <v>1738</v>
      </c>
      <c r="AA24" t="s">
        <v>1739</v>
      </c>
      <c r="AB24" s="27">
        <v>0.2</v>
      </c>
      <c r="AC24" s="29">
        <v>40</v>
      </c>
      <c r="AD24">
        <f>IFERROR(VLOOKUP(Table_Collate_Criticality_Assessment_Tool[[#This Row],[ID]],CAT,4,FALSE),0)</f>
        <v>0</v>
      </c>
      <c r="AE24" cm="1">
        <f t="array" aca="1" ref="AE24" ca="1">IFERROR(_xlfn.XLOOKUP(Table_Collate_Criticality_Assessment_Tool[[#This Row],[Response]],INDIRECT(Table_Collate_Criticality_Assessment_Tool[[#This Row],[Response ID]],TRUE),INDIRECT(Table_Collate_Criticality_Assessment_Tool[[#This Row],[Answer ID]],TRUE)),0)</f>
        <v>0</v>
      </c>
      <c r="AF24">
        <f ca="1">Table_Collate_Criticality_Assessment_Tool[[#This Row],[Question Weight]]*Table_Collate_Criticality_Assessment_Tool[[#This Row],[Subsector Weight]]*Table_Collate_Criticality_Assessment_Tool[[#This Row],[Score]]</f>
        <v>0</v>
      </c>
    </row>
    <row r="25" spans="1:32">
      <c r="A25" t="s">
        <v>1220</v>
      </c>
      <c r="B25">
        <v>0</v>
      </c>
      <c r="C25" t="s">
        <v>1209</v>
      </c>
      <c r="D25" t="s">
        <v>1281</v>
      </c>
      <c r="E25">
        <v>2</v>
      </c>
      <c r="F25">
        <v>1</v>
      </c>
      <c r="G25">
        <f>VLOOKUP(Table_Collate[[#This Row],[Practice ID]],APM,4,FALSE)</f>
        <v>0</v>
      </c>
      <c r="H25">
        <f>_xlfn.IFNA(VLOOKUP(Table_Collate[[#This Row],[Current State]],Score,2,FALSE),0)</f>
        <v>0</v>
      </c>
      <c r="J25" s="1" cm="1">
        <f t="array" ref="J25">_xlfn.IFS(
(((COUNTIFS(Table_Collate[Maturity Indicator Level],1,Table_Collate[Complete],1))/(COUNTIFS(Table_Collate[Maturity Indicator Level],1)))&lt;1),0,
AND((((COUNTIFS(Table_Collate[Maturity Indicator Level],1,Table_Collate[Complete],1))/(COUNTIFS(Table_Collate[Maturity Indicator Level],1)))=1),((COUNTIFS(Table_Collate[Maturity Indicator Level],2,Table_Collate[Complete],1))/(COUNTIFS(Table_Collate[Maturity Indicator Level],2)))&lt;1),
1,
AND(((COUNTIFS(Table_Collate[Maturity Indicator Level],1,Table_Collate[Complete],1))/(COUNTIFS(Table_Collate[Maturity Indicator Level],1)))=1,((COUNTIFS(Table_Collate[Maturity Indicator Level],2,Table_Collate[Complete],1))/(COUNTIFS(Table_Collate[Maturity Indicator Level],2)))=1),
2,
AND(((COUNTIFS(Table_Collate[Maturity Indicator Level],1,Table_Collate[Complete],1))/(COUNTIFS(Table_Collate[Maturity Indicator Level],1)))=1,((COUNTIFS(Table_Collate[Maturity Indicator Level],2,Table_Collate[Complete],1))/(COUNTIFS(Table_Collate[Maturity Indicator Level],2)))=1,((COUNTIFS(Table_Collate[Maturity Indicator Level],3,Table_Collate[Complete],1))/(COUNTIFS(Table_Collate[Maturity Indicator Level],3)))=1),
3
)</f>
        <v>0</v>
      </c>
      <c r="X25" t="s">
        <v>1690</v>
      </c>
      <c r="Y25" t="s">
        <v>123</v>
      </c>
      <c r="Z25" t="s">
        <v>1740</v>
      </c>
      <c r="AA25" t="s">
        <v>1741</v>
      </c>
      <c r="AB25" s="27">
        <v>0</v>
      </c>
      <c r="AC25" s="29">
        <v>40</v>
      </c>
      <c r="AD25">
        <f>IFERROR(VLOOKUP(Table_Collate_Criticality_Assessment_Tool[[#This Row],[ID]],CAT,4,FALSE),0)</f>
        <v>0</v>
      </c>
      <c r="AE25" cm="1">
        <f t="array" aca="1" ref="AE25" ca="1">IFERROR(_xlfn.XLOOKUP(Table_Collate_Criticality_Assessment_Tool[[#This Row],[Response]],INDIRECT(Table_Collate_Criticality_Assessment_Tool[[#This Row],[Response ID]],TRUE),INDIRECT(Table_Collate_Criticality_Assessment_Tool[[#This Row],[Answer ID]],TRUE)),0)</f>
        <v>0</v>
      </c>
      <c r="AF25">
        <f ca="1">Table_Collate_Criticality_Assessment_Tool[[#This Row],[Question Weight]]*Table_Collate_Criticality_Assessment_Tool[[#This Row],[Subsector Weight]]*Table_Collate_Criticality_Assessment_Tool[[#This Row],[Score]]</f>
        <v>0</v>
      </c>
    </row>
    <row r="26" spans="1:32">
      <c r="A26" t="s">
        <v>1223</v>
      </c>
      <c r="B26">
        <v>0</v>
      </c>
      <c r="C26" t="s">
        <v>1209</v>
      </c>
      <c r="D26" t="s">
        <v>1281</v>
      </c>
      <c r="E26">
        <v>2</v>
      </c>
      <c r="F26">
        <v>2</v>
      </c>
      <c r="G26">
        <f>VLOOKUP(Table_Collate[[#This Row],[Practice ID]],APM,4,FALSE)</f>
        <v>0</v>
      </c>
      <c r="H26">
        <f>_xlfn.IFNA(VLOOKUP(Table_Collate[[#This Row],[Current State]],Score,2,FALSE),0)</f>
        <v>0</v>
      </c>
      <c r="X26" t="s">
        <v>1693</v>
      </c>
      <c r="Y26" t="s">
        <v>125</v>
      </c>
      <c r="Z26" t="s">
        <v>1742</v>
      </c>
      <c r="AA26" t="s">
        <v>1743</v>
      </c>
      <c r="AB26" s="27">
        <v>1</v>
      </c>
      <c r="AC26" s="29">
        <v>1</v>
      </c>
      <c r="AD26">
        <f>IFERROR(VLOOKUP(Table_Collate_Criticality_Assessment_Tool[[#This Row],[ID]],CAT,4,FALSE),0)</f>
        <v>0</v>
      </c>
      <c r="AE26" cm="1">
        <f t="array" aca="1" ref="AE26" ca="1">IFERROR(_xlfn.XLOOKUP(Table_Collate_Criticality_Assessment_Tool[[#This Row],[Response]],INDIRECT(Table_Collate_Criticality_Assessment_Tool[[#This Row],[Response ID]],TRUE),INDIRECT(Table_Collate_Criticality_Assessment_Tool[[#This Row],[Answer ID]],TRUE)),0)</f>
        <v>0</v>
      </c>
      <c r="AF26">
        <f ca="1">Table_Collate_Criticality_Assessment_Tool[[#This Row],[Question Weight]]*Table_Collate_Criticality_Assessment_Tool[[#This Row],[Subsector Weight]]*Table_Collate_Criticality_Assessment_Tool[[#This Row],[Score]]</f>
        <v>0</v>
      </c>
    </row>
    <row r="27" spans="1:32" ht="13.5" thickBot="1">
      <c r="A27" t="s">
        <v>1226</v>
      </c>
      <c r="B27">
        <v>0</v>
      </c>
      <c r="C27" t="s">
        <v>1209</v>
      </c>
      <c r="D27" t="s">
        <v>1281</v>
      </c>
      <c r="E27">
        <v>2</v>
      </c>
      <c r="F27">
        <v>2</v>
      </c>
      <c r="G27">
        <f>VLOOKUP(Table_Collate[[#This Row],[Practice ID]],APM,4,FALSE)</f>
        <v>0</v>
      </c>
      <c r="H27">
        <f>_xlfn.IFNA(VLOOKUP(Table_Collate[[#This Row],[Current State]],Score,2,FALSE),0)</f>
        <v>0</v>
      </c>
      <c r="J27" s="30" t="s">
        <v>1744</v>
      </c>
      <c r="X27" t="s">
        <v>1693</v>
      </c>
      <c r="Y27" t="s">
        <v>128</v>
      </c>
      <c r="Z27" t="s">
        <v>1745</v>
      </c>
      <c r="AA27" t="s">
        <v>1746</v>
      </c>
      <c r="AB27" s="27">
        <v>0.6</v>
      </c>
      <c r="AC27" s="29">
        <v>55</v>
      </c>
      <c r="AD27">
        <f>IFERROR(VLOOKUP(Table_Collate_Criticality_Assessment_Tool[[#This Row],[ID]],CAT,4,FALSE),0)</f>
        <v>0</v>
      </c>
      <c r="AE27" cm="1">
        <f t="array" aca="1" ref="AE27" ca="1">IFERROR(_xlfn.XLOOKUP(Table_Collate_Criticality_Assessment_Tool[[#This Row],[Response]],INDIRECT(Table_Collate_Criticality_Assessment_Tool[[#This Row],[Response ID]],TRUE),INDIRECT(Table_Collate_Criticality_Assessment_Tool[[#This Row],[Answer ID]],TRUE)),0)</f>
        <v>0</v>
      </c>
      <c r="AF27">
        <f ca="1">Table_Collate_Criticality_Assessment_Tool[[#This Row],[Question Weight]]*Table_Collate_Criticality_Assessment_Tool[[#This Row],[Subsector Weight]]*Table_Collate_Criticality_Assessment_Tool[[#This Row],[Score]]</f>
        <v>0</v>
      </c>
    </row>
    <row r="28" spans="1:32">
      <c r="A28" t="s">
        <v>1229</v>
      </c>
      <c r="B28">
        <v>0</v>
      </c>
      <c r="C28" t="s">
        <v>1209</v>
      </c>
      <c r="D28" t="s">
        <v>1281</v>
      </c>
      <c r="E28">
        <v>2</v>
      </c>
      <c r="F28">
        <v>2</v>
      </c>
      <c r="G28">
        <f>VLOOKUP(Table_Collate[[#This Row],[Practice ID]],APM,4,FALSE)</f>
        <v>0</v>
      </c>
      <c r="H28">
        <f>_xlfn.IFNA(VLOOKUP(Table_Collate[[#This Row],[Current State]],Score,2,FALSE),0)</f>
        <v>0</v>
      </c>
      <c r="J28" s="33" cm="1">
        <f t="array" ref="J28">_xlfn.IFS(
(((COUNTIFS(Table_Collate[Security Profile],1,Table_Collate[Complete],1))/(COUNTIFS(Table_Collate[Security Profile],1)))&lt;1),((COUNTIFS(Table_Collate[Security Profile],1,Table_Collate[Complete],1))/(COUNTIFS(Table_Collate[Security Profile],1))),
AND((((COUNTIFS(Table_Collate[Security Profile],1,Table_Collate[Complete],1))/(COUNTIFS(Table_Collate[Security Profile],1)))=1),((COUNTIFS(Table_Collate[Security Profile],2,Table_Collate[Complete],1))/(COUNTIFS(Table_Collate[Security Profile],2)))&lt;1),
(((COUNTIFS(Table_Collate[Security Profile],1,Table_Collate[Complete],1))/(COUNTIFS(Table_Collate[Security Profile],1)))+((COUNTIFS(Table_Collate[Security Profile],2,Table_Collate[Complete],1))/(COUNTIFS(Table_Collate[Security Profile],2)))),
AND(((COUNTIFS(Table_Collate[Security Profile],1,Table_Collate[Complete],1))/(COUNTIFS(Table_Collate[Security Profile],1)))=1,((COUNTIFS(Table_Collate[Security Profile],2,Table_Collate[Complete],1))/(COUNTIFS(Table_Collate[Security Profile],2)))=1),
(((COUNTIFS(Table_Collate[Security Profile],1,Table_Collate[Complete],1))/(COUNTIFS(Table_Collate[Security Profile],1)))+((COUNTIFS(Table_Collate[Security Profile],2,Table_Collate[Complete],1))/(COUNTIFS(Table_Collate[Security Profile],2)))+((COUNTIFS(Table_Collate[Security Profile],3,Table_Collate[Complete],1))/(COUNTIFS(Table_Collate[Security Profile],3))))
)</f>
        <v>5.6818181818181816E-2</v>
      </c>
      <c r="X28" t="s">
        <v>1693</v>
      </c>
      <c r="Y28" t="s">
        <v>130</v>
      </c>
      <c r="Z28" t="s">
        <v>1747</v>
      </c>
      <c r="AA28" t="s">
        <v>1748</v>
      </c>
      <c r="AB28" s="27">
        <v>0.15</v>
      </c>
      <c r="AC28" s="29">
        <v>55</v>
      </c>
      <c r="AD28">
        <f>IFERROR(VLOOKUP(Table_Collate_Criticality_Assessment_Tool[[#This Row],[ID]],CAT,4,FALSE),0)</f>
        <v>0</v>
      </c>
      <c r="AE28" cm="1">
        <f t="array" aca="1" ref="AE28" ca="1">IFERROR(_xlfn.XLOOKUP(Table_Collate_Criticality_Assessment_Tool[[#This Row],[Response]],INDIRECT(Table_Collate_Criticality_Assessment_Tool[[#This Row],[Response ID]],TRUE),INDIRECT(Table_Collate_Criticality_Assessment_Tool[[#This Row],[Answer ID]],TRUE)),0)</f>
        <v>0</v>
      </c>
      <c r="AF28">
        <f ca="1">Table_Collate_Criticality_Assessment_Tool[[#This Row],[Question Weight]]*Table_Collate_Criticality_Assessment_Tool[[#This Row],[Subsector Weight]]*Table_Collate_Criticality_Assessment_Tool[[#This Row],[Score]]</f>
        <v>0</v>
      </c>
    </row>
    <row r="29" spans="1:32">
      <c r="A29" t="s">
        <v>1232</v>
      </c>
      <c r="B29">
        <v>0</v>
      </c>
      <c r="C29" t="s">
        <v>1209</v>
      </c>
      <c r="D29" t="s">
        <v>1281</v>
      </c>
      <c r="E29">
        <v>2</v>
      </c>
      <c r="F29">
        <v>2</v>
      </c>
      <c r="G29">
        <f>VLOOKUP(Table_Collate[[#This Row],[Practice ID]],APM,4,FALSE)</f>
        <v>0</v>
      </c>
      <c r="H29">
        <f>_xlfn.IFNA(VLOOKUP(Table_Collate[[#This Row],[Current State]],Score,2,FALSE),0)</f>
        <v>0</v>
      </c>
      <c r="X29" t="s">
        <v>1693</v>
      </c>
      <c r="Y29" t="s">
        <v>133</v>
      </c>
      <c r="Z29" t="s">
        <v>1749</v>
      </c>
      <c r="AA29" t="s">
        <v>1750</v>
      </c>
      <c r="AB29" s="27">
        <v>0.1</v>
      </c>
      <c r="AC29" s="29">
        <v>55</v>
      </c>
      <c r="AD29">
        <f>IFERROR(VLOOKUP(Table_Collate_Criticality_Assessment_Tool[[#This Row],[ID]],CAT,4,FALSE),0)</f>
        <v>0</v>
      </c>
      <c r="AE29" cm="1">
        <f t="array" aca="1" ref="AE29" ca="1">IFERROR(_xlfn.XLOOKUP(Table_Collate_Criticality_Assessment_Tool[[#This Row],[Response]],INDIRECT(Table_Collate_Criticality_Assessment_Tool[[#This Row],[Response ID]],TRUE),INDIRECT(Table_Collate_Criticality_Assessment_Tool[[#This Row],[Answer ID]],TRUE)),0)</f>
        <v>0</v>
      </c>
      <c r="AF29">
        <f ca="1">Table_Collate_Criticality_Assessment_Tool[[#This Row],[Question Weight]]*Table_Collate_Criticality_Assessment_Tool[[#This Row],[Subsector Weight]]*Table_Collate_Criticality_Assessment_Tool[[#This Row],[Score]]</f>
        <v>0</v>
      </c>
    </row>
    <row r="30" spans="1:32" ht="13.5" thickBot="1">
      <c r="A30" t="s">
        <v>1235</v>
      </c>
      <c r="B30">
        <v>0</v>
      </c>
      <c r="C30" t="s">
        <v>1209</v>
      </c>
      <c r="D30" t="s">
        <v>1281</v>
      </c>
      <c r="E30">
        <v>2</v>
      </c>
      <c r="F30">
        <v>2</v>
      </c>
      <c r="G30">
        <f>VLOOKUP(Table_Collate[[#This Row],[Practice ID]],APM,4,FALSE)</f>
        <v>0</v>
      </c>
      <c r="H30">
        <f>_xlfn.IFNA(VLOOKUP(Table_Collate[[#This Row],[Current State]],Score,2,FALSE),0)</f>
        <v>0</v>
      </c>
      <c r="J30" s="30" t="s">
        <v>1751</v>
      </c>
      <c r="X30" t="s">
        <v>1693</v>
      </c>
      <c r="Y30" t="s">
        <v>135</v>
      </c>
      <c r="Z30" t="s">
        <v>1752</v>
      </c>
      <c r="AA30" t="s">
        <v>1753</v>
      </c>
      <c r="AB30" s="27">
        <v>2.5000000000000001E-2</v>
      </c>
      <c r="AC30" s="29">
        <v>55</v>
      </c>
      <c r="AD30">
        <f>IFERROR(VLOOKUP(Table_Collate_Criticality_Assessment_Tool[[#This Row],[ID]],CAT,4,FALSE),0)</f>
        <v>0</v>
      </c>
      <c r="AE30" cm="1">
        <f t="array" aca="1" ref="AE30" ca="1">IFERROR(_xlfn.XLOOKUP(Table_Collate_Criticality_Assessment_Tool[[#This Row],[Response]],INDIRECT(Table_Collate_Criticality_Assessment_Tool[[#This Row],[Response ID]],TRUE),INDIRECT(Table_Collate_Criticality_Assessment_Tool[[#This Row],[Answer ID]],TRUE)),0)</f>
        <v>0</v>
      </c>
      <c r="AF30">
        <f ca="1">Table_Collate_Criticality_Assessment_Tool[[#This Row],[Question Weight]]*Table_Collate_Criticality_Assessment_Tool[[#This Row],[Subsector Weight]]*Table_Collate_Criticality_Assessment_Tool[[#This Row],[Score]]</f>
        <v>0</v>
      </c>
    </row>
    <row r="31" spans="1:32">
      <c r="A31" t="s">
        <v>1238</v>
      </c>
      <c r="B31">
        <v>0</v>
      </c>
      <c r="C31" t="s">
        <v>1209</v>
      </c>
      <c r="D31" t="s">
        <v>1281</v>
      </c>
      <c r="E31">
        <v>2</v>
      </c>
      <c r="F31">
        <v>2</v>
      </c>
      <c r="G31">
        <f>VLOOKUP(Table_Collate[[#This Row],[Practice ID]],APM,4,FALSE)</f>
        <v>0</v>
      </c>
      <c r="H31">
        <f>_xlfn.IFNA(VLOOKUP(Table_Collate[[#This Row],[Current State]],Score,2,FALSE),0)</f>
        <v>0</v>
      </c>
      <c r="J31" s="1" cm="1">
        <f t="array" ref="J31">_xlfn.IFS(
(((COUNTIFS(Table_Collate[Security Profile],1,Table_Collate[Complete],1))/(COUNTIFS(Table_Collate[Security Profile],1)))&lt;1),0,
AND((((COUNTIFS(Table_Collate[Security Profile],1,Table_Collate[Complete],1))/(COUNTIFS(Table_Collate[Security Profile],1)))=1),((COUNTIFS(Table_Collate[Security Profile],2,Table_Collate[Complete],1))/(COUNTIFS(Table_Collate[Security Profile],2)))&lt;1),
1,
AND(((COUNTIFS(Table_Collate[Security Profile],1,Table_Collate[Complete],1))/(COUNTIFS(Table_Collate[Security Profile],1)))=1,((COUNTIFS(Table_Collate[Security Profile],2,Table_Collate[Complete],1))/(COUNTIFS(Table_Collate[Security Profile],2)))=1),
2,
AND(((COUNTIFS(Table_Collate[Security Profile],1,Table_Collate[Complete],1))/(COUNTIFS(Table_Collate[Security Profile],1)))=1,((COUNTIFS(Table_Collate[Security Profile],2,Table_Collate[Complete],1))/(COUNTIFS(Table_Collate[Security Profile],2)))=1,((COUNTIFS(Table_Collate[Security Profile],3,Table_Collate[Complete],1))/(COUNTIFS(Table_Collate[Security Profile],3)))=1),
3
)</f>
        <v>0</v>
      </c>
      <c r="X31" t="s">
        <v>1693</v>
      </c>
      <c r="Y31" t="s">
        <v>138</v>
      </c>
      <c r="Z31" t="s">
        <v>1754</v>
      </c>
      <c r="AA31" t="s">
        <v>1755</v>
      </c>
      <c r="AB31" s="27">
        <v>2.5000000000000001E-2</v>
      </c>
      <c r="AC31" s="29">
        <v>55</v>
      </c>
      <c r="AD31">
        <f>IFERROR(VLOOKUP(Table_Collate_Criticality_Assessment_Tool[[#This Row],[ID]],CAT,4,FALSE),0)</f>
        <v>0</v>
      </c>
      <c r="AE31" cm="1">
        <f t="array" aca="1" ref="AE31" ca="1">IFERROR(_xlfn.XLOOKUP(Table_Collate_Criticality_Assessment_Tool[[#This Row],[Response]],INDIRECT(Table_Collate_Criticality_Assessment_Tool[[#This Row],[Response ID]],TRUE),INDIRECT(Table_Collate_Criticality_Assessment_Tool[[#This Row],[Answer ID]],TRUE)),0)</f>
        <v>0</v>
      </c>
      <c r="AF31">
        <f ca="1">Table_Collate_Criticality_Assessment_Tool[[#This Row],[Question Weight]]*Table_Collate_Criticality_Assessment_Tool[[#This Row],[Subsector Weight]]*Table_Collate_Criticality_Assessment_Tool[[#This Row],[Score]]</f>
        <v>0</v>
      </c>
    </row>
    <row r="32" spans="1:32">
      <c r="A32" t="s">
        <v>1241</v>
      </c>
      <c r="B32">
        <v>0</v>
      </c>
      <c r="C32" t="s">
        <v>1209</v>
      </c>
      <c r="D32" t="s">
        <v>1281</v>
      </c>
      <c r="E32">
        <v>3</v>
      </c>
      <c r="F32">
        <v>3</v>
      </c>
      <c r="G32">
        <f>VLOOKUP(Table_Collate[[#This Row],[Practice ID]],APM,4,FALSE)</f>
        <v>0</v>
      </c>
      <c r="H32">
        <f>_xlfn.IFNA(VLOOKUP(Table_Collate[[#This Row],[Current State]],Score,2,FALSE),0)</f>
        <v>0</v>
      </c>
      <c r="X32" t="s">
        <v>1693</v>
      </c>
      <c r="Y32" t="s">
        <v>141</v>
      </c>
      <c r="Z32" t="s">
        <v>1756</v>
      </c>
      <c r="AA32" t="s">
        <v>1757</v>
      </c>
      <c r="AB32" s="27">
        <v>0.1</v>
      </c>
      <c r="AC32" s="29">
        <v>55</v>
      </c>
      <c r="AD32">
        <f>IFERROR(VLOOKUP(Table_Collate_Criticality_Assessment_Tool[[#This Row],[ID]],CAT,4,FALSE),0)</f>
        <v>0</v>
      </c>
      <c r="AE32" cm="1">
        <f t="array" aca="1" ref="AE32" ca="1">IFERROR(_xlfn.XLOOKUP(Table_Collate_Criticality_Assessment_Tool[[#This Row],[Response]],INDIRECT(Table_Collate_Criticality_Assessment_Tool[[#This Row],[Response ID]],TRUE),INDIRECT(Table_Collate_Criticality_Assessment_Tool[[#This Row],[Answer ID]],TRUE)),0)</f>
        <v>0</v>
      </c>
      <c r="AF32">
        <f ca="1">Table_Collate_Criticality_Assessment_Tool[[#This Row],[Question Weight]]*Table_Collate_Criticality_Assessment_Tool[[#This Row],[Subsector Weight]]*Table_Collate_Criticality_Assessment_Tool[[#This Row],[Score]]</f>
        <v>0</v>
      </c>
    </row>
    <row r="33" spans="1:35">
      <c r="A33" t="s">
        <v>1244</v>
      </c>
      <c r="B33">
        <v>0</v>
      </c>
      <c r="C33" t="s">
        <v>1209</v>
      </c>
      <c r="D33" t="s">
        <v>1281</v>
      </c>
      <c r="E33">
        <v>3</v>
      </c>
      <c r="F33">
        <v>2</v>
      </c>
      <c r="G33">
        <f>VLOOKUP(Table_Collate[[#This Row],[Practice ID]],APM,4,FALSE)</f>
        <v>0</v>
      </c>
      <c r="H33">
        <f>_xlfn.IFNA(VLOOKUP(Table_Collate[[#This Row],[Current State]],Score,2,FALSE),0)</f>
        <v>0</v>
      </c>
      <c r="X33" t="s">
        <v>1693</v>
      </c>
      <c r="Y33" t="s">
        <v>144</v>
      </c>
      <c r="Z33" t="s">
        <v>1758</v>
      </c>
      <c r="AA33" t="s">
        <v>1759</v>
      </c>
      <c r="AB33" s="27">
        <v>0</v>
      </c>
      <c r="AC33" s="29">
        <v>55</v>
      </c>
      <c r="AD33">
        <f>IFERROR(VLOOKUP(Table_Collate_Criticality_Assessment_Tool[[#This Row],[ID]],CAT,4,FALSE),0)</f>
        <v>0</v>
      </c>
      <c r="AE33" cm="1">
        <f t="array" aca="1" ref="AE33" ca="1">IFERROR(_xlfn.XLOOKUP(Table_Collate_Criticality_Assessment_Tool[[#This Row],[Response]],INDIRECT(Table_Collate_Criticality_Assessment_Tool[[#This Row],[Response ID]],TRUE),INDIRECT(Table_Collate_Criticality_Assessment_Tool[[#This Row],[Answer ID]],TRUE)),0)</f>
        <v>0</v>
      </c>
      <c r="AF33">
        <f ca="1">Table_Collate_Criticality_Assessment_Tool[[#This Row],[Question Weight]]*Table_Collate_Criticality_Assessment_Tool[[#This Row],[Subsector Weight]]*Table_Collate_Criticality_Assessment_Tool[[#This Row],[Score]]</f>
        <v>0</v>
      </c>
    </row>
    <row r="34" spans="1:35">
      <c r="A34" t="s">
        <v>1247</v>
      </c>
      <c r="B34">
        <v>0</v>
      </c>
      <c r="C34" t="s">
        <v>1209</v>
      </c>
      <c r="D34" t="s">
        <v>1281</v>
      </c>
      <c r="E34">
        <v>3</v>
      </c>
      <c r="F34">
        <v>3</v>
      </c>
      <c r="G34">
        <f>VLOOKUP(Table_Collate[[#This Row],[Practice ID]],APM,4,FALSE)</f>
        <v>0</v>
      </c>
      <c r="H34">
        <f>_xlfn.IFNA(VLOOKUP(Table_Collate[[#This Row],[Current State]],Score,2,FALSE),0)</f>
        <v>0</v>
      </c>
      <c r="X34" t="s">
        <v>1696</v>
      </c>
      <c r="Y34" t="s">
        <v>147</v>
      </c>
      <c r="Z34" t="s">
        <v>1760</v>
      </c>
      <c r="AA34" t="s">
        <v>1761</v>
      </c>
      <c r="AB34" s="27">
        <v>1</v>
      </c>
      <c r="AC34" s="29">
        <v>1</v>
      </c>
      <c r="AD34">
        <f>IFERROR(VLOOKUP(Table_Collate_Criticality_Assessment_Tool[[#This Row],[ID]],CAT,4,FALSE),0)</f>
        <v>0</v>
      </c>
      <c r="AE34" cm="1">
        <f t="array" aca="1" ref="AE34" ca="1">IFERROR(_xlfn.XLOOKUP(Table_Collate_Criticality_Assessment_Tool[[#This Row],[Response]],INDIRECT(Table_Collate_Criticality_Assessment_Tool[[#This Row],[Response ID]],TRUE),INDIRECT(Table_Collate_Criticality_Assessment_Tool[[#This Row],[Answer ID]],TRUE)),0)</f>
        <v>0</v>
      </c>
      <c r="AF34">
        <f ca="1">Table_Collate_Criticality_Assessment_Tool[[#This Row],[Question Weight]]*Table_Collate_Criticality_Assessment_Tool[[#This Row],[Subsector Weight]]*Table_Collate_Criticality_Assessment_Tool[[#This Row],[Score]]</f>
        <v>0</v>
      </c>
    </row>
    <row r="35" spans="1:35">
      <c r="A35" t="s">
        <v>1250</v>
      </c>
      <c r="B35">
        <v>0</v>
      </c>
      <c r="C35" t="s">
        <v>1209</v>
      </c>
      <c r="D35" t="s">
        <v>1281</v>
      </c>
      <c r="E35">
        <v>3</v>
      </c>
      <c r="F35">
        <v>3</v>
      </c>
      <c r="G35">
        <f>VLOOKUP(Table_Collate[[#This Row],[Practice ID]],APM,4,FALSE)</f>
        <v>0</v>
      </c>
      <c r="H35">
        <f>_xlfn.IFNA(VLOOKUP(Table_Collate[[#This Row],[Current State]],Score,2,FALSE),0)</f>
        <v>0</v>
      </c>
    </row>
    <row r="36" spans="1:35">
      <c r="A36" t="s">
        <v>1253</v>
      </c>
      <c r="B36">
        <v>0</v>
      </c>
      <c r="C36" t="s">
        <v>1209</v>
      </c>
      <c r="D36" t="s">
        <v>1281</v>
      </c>
      <c r="E36">
        <v>3</v>
      </c>
      <c r="F36">
        <v>3</v>
      </c>
      <c r="G36">
        <f>VLOOKUP(Table_Collate[[#This Row],[Practice ID]],APM,4,FALSE)</f>
        <v>0</v>
      </c>
      <c r="H36">
        <f>_xlfn.IFNA(VLOOKUP(Table_Collate[[#This Row],[Current State]],Score,2,FALSE),0)</f>
        <v>0</v>
      </c>
      <c r="X36" t="s">
        <v>1670</v>
      </c>
      <c r="Y36" t="s">
        <v>1671</v>
      </c>
      <c r="Z36" t="s">
        <v>1672</v>
      </c>
      <c r="AA36" t="s">
        <v>1673</v>
      </c>
      <c r="AB36" t="s">
        <v>1674</v>
      </c>
      <c r="AC36" t="s">
        <v>1675</v>
      </c>
      <c r="AD36" t="s">
        <v>54</v>
      </c>
      <c r="AE36" t="s">
        <v>1676</v>
      </c>
      <c r="AF36" t="s">
        <v>1677</v>
      </c>
      <c r="AH36" t="s">
        <v>1670</v>
      </c>
      <c r="AI36" t="s">
        <v>1678</v>
      </c>
    </row>
    <row r="37" spans="1:35">
      <c r="A37" t="s">
        <v>1256</v>
      </c>
      <c r="B37">
        <v>0</v>
      </c>
      <c r="C37" t="s">
        <v>1209</v>
      </c>
      <c r="D37" t="s">
        <v>1281</v>
      </c>
      <c r="E37">
        <v>3</v>
      </c>
      <c r="F37">
        <v>3</v>
      </c>
      <c r="G37">
        <f>VLOOKUP(Table_Collate[[#This Row],[Practice ID]],APM,4,FALSE)</f>
        <v>0</v>
      </c>
      <c r="H37">
        <f>_xlfn.IFNA(VLOOKUP(Table_Collate[[#This Row],[Current State]],Score,2,FALSE),0)</f>
        <v>0</v>
      </c>
      <c r="X37" t="s">
        <v>1762</v>
      </c>
      <c r="Y37" t="s">
        <v>155</v>
      </c>
      <c r="Z37" t="s">
        <v>1763</v>
      </c>
      <c r="AA37" t="s">
        <v>1764</v>
      </c>
      <c r="AB37" s="27">
        <v>1</v>
      </c>
      <c r="AC37">
        <v>1</v>
      </c>
      <c r="AD37">
        <f>IFERROR(VLOOKUP(Table_Collate_G_CAT[[#This Row],[ID]],G_CAT,4,FALSE),0)</f>
        <v>0</v>
      </c>
      <c r="AE37" cm="1">
        <f t="array" aca="1" ref="AE37" ca="1">IFERROR(_xlfn.XLOOKUP(Table_Collate_G_CAT[[#This Row],[Response]],INDIRECT(Table_Collate_G_CAT[[#This Row],[Response ID]],TRUE),INDIRECT(Table_Collate_G_CAT[[#This Row],[Answer ID]],TRUE)),0)</f>
        <v>0</v>
      </c>
      <c r="AF37">
        <f ca="1">Table_Collate_G_CAT[[#This Row],[Question Weight]]*Table_Collate_G_CAT[[#This Row],[Subsector Weight]]*Table_Collate_G_CAT[[#This Row],[Score]]</f>
        <v>0</v>
      </c>
      <c r="AH37" t="s">
        <v>1762</v>
      </c>
      <c r="AI37" s="41">
        <f ca="1">SUMIFS(Table_Collate_G_CAT[Weighted Score],Table_Collate_G_CAT[Subsector],Table_Aggregate_G_CAT[[#This Row],[Subsector]])</f>
        <v>0</v>
      </c>
    </row>
    <row r="38" spans="1:35">
      <c r="A38" t="s">
        <v>1261</v>
      </c>
      <c r="B38">
        <v>1</v>
      </c>
      <c r="C38" t="s">
        <v>1259</v>
      </c>
      <c r="D38" t="s">
        <v>1281</v>
      </c>
      <c r="E38">
        <v>2</v>
      </c>
      <c r="F38">
        <v>1</v>
      </c>
      <c r="G38">
        <f>VLOOKUP(Table_Collate[[#This Row],[Practice ID]],APM,4,FALSE)</f>
        <v>0</v>
      </c>
      <c r="H38">
        <f>_xlfn.IFNA(VLOOKUP(Table_Collate[[#This Row],[Current State]],Score,2,FALSE),0)</f>
        <v>0</v>
      </c>
      <c r="X38" t="s">
        <v>1762</v>
      </c>
      <c r="Y38" t="s">
        <v>158</v>
      </c>
      <c r="Z38" t="s">
        <v>1765</v>
      </c>
      <c r="AA38" t="s">
        <v>1766</v>
      </c>
      <c r="AB38" s="27">
        <v>0.8</v>
      </c>
      <c r="AC38">
        <v>79</v>
      </c>
      <c r="AD38">
        <f>IFERROR(VLOOKUP(Table_Collate_G_CAT[[#This Row],[ID]],G_CAT,4,FALSE),0)</f>
        <v>0</v>
      </c>
      <c r="AE38" cm="1">
        <f t="array" aca="1" ref="AE38" ca="1">IFERROR(_xlfn.XLOOKUP(Table_Collate_G_CAT[[#This Row],[Response]],INDIRECT(Table_Collate_G_CAT[[#This Row],[Response ID]],TRUE),INDIRECT(Table_Collate_G_CAT[[#This Row],[Answer ID]],TRUE)),0)</f>
        <v>0</v>
      </c>
      <c r="AF38">
        <f ca="1">Table_Collate_G_CAT[[#This Row],[Question Weight]]*Table_Collate_G_CAT[[#This Row],[Subsector Weight]]*Table_Collate_G_CAT[[#This Row],[Score]]</f>
        <v>0</v>
      </c>
      <c r="AH38" t="s">
        <v>1767</v>
      </c>
      <c r="AI38" s="41">
        <f ca="1">SUMIFS(Table_Collate_G_CAT[Weighted Score],Table_Collate_G_CAT[Subsector],Table_Aggregate_G_CAT[[#This Row],[Subsector]])</f>
        <v>0</v>
      </c>
    </row>
    <row r="39" spans="1:35">
      <c r="A39" t="s">
        <v>404</v>
      </c>
      <c r="B39">
        <v>0</v>
      </c>
      <c r="C39" t="s">
        <v>402</v>
      </c>
      <c r="D39" t="s">
        <v>1272</v>
      </c>
      <c r="E39">
        <v>1</v>
      </c>
      <c r="F39">
        <v>1</v>
      </c>
      <c r="G39" t="str">
        <f>VLOOKUP(Table_Collate[[#This Row],[Practice ID]],CPM,4,FALSE)</f>
        <v>Yes</v>
      </c>
      <c r="H39">
        <f>_xlfn.IFNA(VLOOKUP(Table_Collate[[#This Row],[Current State]],Score,2,FALSE),0)</f>
        <v>1</v>
      </c>
      <c r="X39" t="s">
        <v>1762</v>
      </c>
      <c r="Y39" t="s">
        <v>161</v>
      </c>
      <c r="Z39" t="s">
        <v>1768</v>
      </c>
      <c r="AA39" t="s">
        <v>1769</v>
      </c>
      <c r="AB39" s="27">
        <v>0.05</v>
      </c>
      <c r="AC39">
        <v>79</v>
      </c>
      <c r="AD39">
        <f>IFERROR(VLOOKUP(Table_Collate_G_CAT[[#This Row],[ID]],G_CAT,4,FALSE),0)</f>
        <v>0</v>
      </c>
      <c r="AE39" cm="1">
        <f t="array" aca="1" ref="AE39" ca="1">IFERROR(_xlfn.XLOOKUP(Table_Collate_G_CAT[[#This Row],[Response]],INDIRECT(Table_Collate_G_CAT[[#This Row],[Response ID]],TRUE),INDIRECT(Table_Collate_G_CAT[[#This Row],[Answer ID]],TRUE)),0)</f>
        <v>0</v>
      </c>
      <c r="AF39">
        <f ca="1">Table_Collate_G_CAT[[#This Row],[Question Weight]]*Table_Collate_G_CAT[[#This Row],[Subsector Weight]]*Table_Collate_G_CAT[[#This Row],[Score]]</f>
        <v>0</v>
      </c>
      <c r="AH39" t="s">
        <v>1770</v>
      </c>
      <c r="AI39" s="41">
        <f ca="1">SUMIFS(Table_Collate_G_CAT[Weighted Score],Table_Collate_G_CAT[Subsector],Table_Aggregate_G_CAT[[#This Row],[Subsector]])</f>
        <v>0</v>
      </c>
    </row>
    <row r="40" spans="1:35">
      <c r="A40" t="s">
        <v>408</v>
      </c>
      <c r="B40">
        <v>0</v>
      </c>
      <c r="C40" t="s">
        <v>402</v>
      </c>
      <c r="D40" t="s">
        <v>1272</v>
      </c>
      <c r="E40">
        <v>2</v>
      </c>
      <c r="F40">
        <v>2</v>
      </c>
      <c r="G40" t="str">
        <f>VLOOKUP(Table_Collate[[#This Row],[Practice ID]],CPM,4,FALSE)</f>
        <v>Fully Implemented</v>
      </c>
      <c r="H40">
        <f>_xlfn.IFNA(VLOOKUP(Table_Collate[[#This Row],[Current State]],Score,2,FALSE),0)</f>
        <v>1</v>
      </c>
      <c r="X40" t="s">
        <v>1762</v>
      </c>
      <c r="Y40" t="s">
        <v>164</v>
      </c>
      <c r="Z40" t="s">
        <v>1771</v>
      </c>
      <c r="AA40" t="s">
        <v>1772</v>
      </c>
      <c r="AB40" s="27">
        <v>0.15</v>
      </c>
      <c r="AC40">
        <v>79</v>
      </c>
      <c r="AD40">
        <f>IFERROR(VLOOKUP(Table_Collate_G_CAT[[#This Row],[ID]],G_CAT,4,FALSE),0)</f>
        <v>0</v>
      </c>
      <c r="AE40" cm="1">
        <f t="array" aca="1" ref="AE40" ca="1">IFERROR(_xlfn.XLOOKUP(Table_Collate_G_CAT[[#This Row],[Response]],INDIRECT(Table_Collate_G_CAT[[#This Row],[Response ID]],TRUE),INDIRECT(Table_Collate_G_CAT[[#This Row],[Answer ID]],TRUE)),0)</f>
        <v>0</v>
      </c>
      <c r="AF40">
        <f ca="1">Table_Collate_G_CAT[[#This Row],[Question Weight]]*Table_Collate_G_CAT[[#This Row],[Subsector Weight]]*Table_Collate_G_CAT[[#This Row],[Score]]</f>
        <v>0</v>
      </c>
      <c r="AH40" t="s">
        <v>1773</v>
      </c>
      <c r="AI40" s="41">
        <f ca="1">SUMIFS(Table_Collate_G_CAT[Weighted Score],Table_Collate_G_CAT[Subsector],Table_Aggregate_G_CAT[[#This Row],[Subsector]])</f>
        <v>0</v>
      </c>
    </row>
    <row r="41" spans="1:35">
      <c r="A41" t="s">
        <v>412</v>
      </c>
      <c r="B41">
        <v>0</v>
      </c>
      <c r="C41" t="s">
        <v>402</v>
      </c>
      <c r="D41" t="s">
        <v>1272</v>
      </c>
      <c r="E41">
        <v>2</v>
      </c>
      <c r="F41">
        <v>2</v>
      </c>
      <c r="G41" t="str">
        <f>VLOOKUP(Table_Collate[[#This Row],[Practice ID]],CPM,4,FALSE)</f>
        <v>Fully Implemented</v>
      </c>
      <c r="H41">
        <f>_xlfn.IFNA(VLOOKUP(Table_Collate[[#This Row],[Current State]],Score,2,FALSE),0)</f>
        <v>1</v>
      </c>
      <c r="X41" t="s">
        <v>1762</v>
      </c>
      <c r="Y41" t="s">
        <v>167</v>
      </c>
      <c r="Z41" t="s">
        <v>1774</v>
      </c>
      <c r="AA41" t="s">
        <v>1775</v>
      </c>
      <c r="AB41" s="27">
        <v>0</v>
      </c>
      <c r="AC41">
        <v>79</v>
      </c>
      <c r="AD41">
        <f>IFERROR(VLOOKUP(Table_Collate_G_CAT[[#This Row],[ID]],G_CAT,4,FALSE),0)</f>
        <v>0</v>
      </c>
      <c r="AE41" cm="1">
        <f t="array" aca="1" ref="AE41" ca="1">IFERROR(_xlfn.XLOOKUP(Table_Collate_G_CAT[[#This Row],[Response]],INDIRECT(Table_Collate_G_CAT[[#This Row],[Response ID]],TRUE),INDIRECT(Table_Collate_G_CAT[[#This Row],[Answer ID]],TRUE)),0)</f>
        <v>0</v>
      </c>
      <c r="AF41">
        <f ca="1">Table_Collate_G_CAT[[#This Row],[Question Weight]]*Table_Collate_G_CAT[[#This Row],[Subsector Weight]]*Table_Collate_G_CAT[[#This Row],[Score]]</f>
        <v>0</v>
      </c>
      <c r="AH41" t="s">
        <v>1776</v>
      </c>
      <c r="AI41" s="41">
        <f ca="1">SUMIFS(Table_Collate_G_CAT[Weighted Score],Table_Collate_G_CAT[Subsector],Table_Aggregate_G_CAT[[#This Row],[Subsector]])</f>
        <v>0</v>
      </c>
    </row>
    <row r="42" spans="1:35">
      <c r="A42" t="s">
        <v>415</v>
      </c>
      <c r="B42">
        <v>0</v>
      </c>
      <c r="C42" t="s">
        <v>402</v>
      </c>
      <c r="D42" t="s">
        <v>1272</v>
      </c>
      <c r="E42">
        <v>2</v>
      </c>
      <c r="F42">
        <v>2</v>
      </c>
      <c r="G42" t="str">
        <f>VLOOKUP(Table_Collate[[#This Row],[Practice ID]],CPM,4,FALSE)</f>
        <v>Fully Implemented</v>
      </c>
      <c r="H42">
        <f>_xlfn.IFNA(VLOOKUP(Table_Collate[[#This Row],[Current State]],Score,2,FALSE),0)</f>
        <v>1</v>
      </c>
      <c r="X42" t="s">
        <v>1767</v>
      </c>
      <c r="Y42" t="s">
        <v>169</v>
      </c>
      <c r="Z42" t="s">
        <v>1777</v>
      </c>
      <c r="AA42" t="s">
        <v>1778</v>
      </c>
      <c r="AB42" s="27">
        <v>1</v>
      </c>
      <c r="AC42">
        <v>1</v>
      </c>
      <c r="AD42">
        <f>IFERROR(VLOOKUP(Table_Collate_G_CAT[[#This Row],[ID]],G_CAT,4,FALSE),0)</f>
        <v>0</v>
      </c>
      <c r="AE42" cm="1">
        <f t="array" aca="1" ref="AE42" ca="1">IFERROR(_xlfn.XLOOKUP(Table_Collate_G_CAT[[#This Row],[Response]],INDIRECT(Table_Collate_G_CAT[[#This Row],[Response ID]],TRUE),INDIRECT(Table_Collate_G_CAT[[#This Row],[Answer ID]],TRUE)),0)</f>
        <v>0</v>
      </c>
      <c r="AF42">
        <f ca="1">Table_Collate_G_CAT[[#This Row],[Question Weight]]*Table_Collate_G_CAT[[#This Row],[Subsector Weight]]*Table_Collate_G_CAT[[#This Row],[Score]]</f>
        <v>0</v>
      </c>
      <c r="AH42" t="s">
        <v>1779</v>
      </c>
      <c r="AI42" s="41">
        <f ca="1">SUMIFS(Table_Collate_G_CAT[Weighted Score],Table_Collate_G_CAT[Subsector],Table_Aggregate_G_CAT[[#This Row],[Subsector]])</f>
        <v>0</v>
      </c>
    </row>
    <row r="43" spans="1:35">
      <c r="A43" t="s">
        <v>418</v>
      </c>
      <c r="B43">
        <v>0</v>
      </c>
      <c r="C43" t="s">
        <v>402</v>
      </c>
      <c r="D43" t="s">
        <v>1272</v>
      </c>
      <c r="E43">
        <v>2</v>
      </c>
      <c r="F43">
        <v>2</v>
      </c>
      <c r="G43" t="str">
        <f>VLOOKUP(Table_Collate[[#This Row],[Practice ID]],CPM,4,FALSE)</f>
        <v>Fully Implemented</v>
      </c>
      <c r="H43">
        <f>_xlfn.IFNA(VLOOKUP(Table_Collate[[#This Row],[Current State]],Score,2,FALSE),0)</f>
        <v>1</v>
      </c>
      <c r="X43" t="s">
        <v>1767</v>
      </c>
      <c r="Y43" t="s">
        <v>172</v>
      </c>
      <c r="Z43" t="s">
        <v>1780</v>
      </c>
      <c r="AA43" t="s">
        <v>1781</v>
      </c>
      <c r="AB43" s="27">
        <v>0.5</v>
      </c>
      <c r="AC43">
        <v>19</v>
      </c>
      <c r="AD43">
        <f>IFERROR(VLOOKUP(Table_Collate_G_CAT[[#This Row],[ID]],G_CAT,4,FALSE),0)</f>
        <v>0</v>
      </c>
      <c r="AE43" cm="1">
        <f t="array" aca="1" ref="AE43" ca="1">IFERROR(_xlfn.XLOOKUP(Table_Collate_G_CAT[[#This Row],[Response]],INDIRECT(Table_Collate_G_CAT[[#This Row],[Response ID]],TRUE),INDIRECT(Table_Collate_G_CAT[[#This Row],[Answer ID]],TRUE)),0)</f>
        <v>0</v>
      </c>
      <c r="AF43">
        <f ca="1">Table_Collate_G_CAT[[#This Row],[Question Weight]]*Table_Collate_G_CAT[[#This Row],[Subsector Weight]]*Table_Collate_G_CAT[[#This Row],[Score]]</f>
        <v>0</v>
      </c>
    </row>
    <row r="44" spans="1:35" ht="13.5" thickBot="1">
      <c r="A44" t="s">
        <v>421</v>
      </c>
      <c r="B44">
        <v>0</v>
      </c>
      <c r="C44" t="s">
        <v>402</v>
      </c>
      <c r="D44" t="s">
        <v>1272</v>
      </c>
      <c r="E44">
        <v>2</v>
      </c>
      <c r="F44">
        <v>2</v>
      </c>
      <c r="G44" t="str">
        <f>VLOOKUP(Table_Collate[[#This Row],[Practice ID]],CPM,4,FALSE)</f>
        <v>Fully Implemented</v>
      </c>
      <c r="H44">
        <f>_xlfn.IFNA(VLOOKUP(Table_Collate[[#This Row],[Current State]],Score,2,FALSE),0)</f>
        <v>1</v>
      </c>
      <c r="X44" t="s">
        <v>1767</v>
      </c>
      <c r="Y44" t="s">
        <v>175</v>
      </c>
      <c r="Z44" t="s">
        <v>1782</v>
      </c>
      <c r="AA44" t="s">
        <v>1783</v>
      </c>
      <c r="AB44" s="40">
        <v>2.5000000000000001E-2</v>
      </c>
      <c r="AC44">
        <v>19</v>
      </c>
      <c r="AD44">
        <f>IFERROR(VLOOKUP(Table_Collate_G_CAT[[#This Row],[ID]],G_CAT,4,FALSE),0)</f>
        <v>0</v>
      </c>
      <c r="AE44" cm="1">
        <f t="array" aca="1" ref="AE44" ca="1">IFERROR(_xlfn.XLOOKUP(Table_Collate_G_CAT[[#This Row],[Response]],INDIRECT(Table_Collate_G_CAT[[#This Row],[Response ID]],TRUE),INDIRECT(Table_Collate_G_CAT[[#This Row],[Answer ID]],TRUE)),0)</f>
        <v>0</v>
      </c>
      <c r="AF44">
        <f ca="1">Table_Collate_G_CAT[[#This Row],[Question Weight]]*Table_Collate_G_CAT[[#This Row],[Subsector Weight]]*Table_Collate_G_CAT[[#This Row],[Score]]</f>
        <v>0</v>
      </c>
      <c r="AH44" s="30" t="s">
        <v>1784</v>
      </c>
    </row>
    <row r="45" spans="1:35">
      <c r="A45" t="s">
        <v>424</v>
      </c>
      <c r="B45">
        <v>0</v>
      </c>
      <c r="C45" t="s">
        <v>402</v>
      </c>
      <c r="D45" t="s">
        <v>1272</v>
      </c>
      <c r="E45">
        <v>3</v>
      </c>
      <c r="F45">
        <v>3</v>
      </c>
      <c r="G45" t="str">
        <f>VLOOKUP(Table_Collate[[#This Row],[Practice ID]],CPM,4,FALSE)</f>
        <v>Fully Implemented</v>
      </c>
      <c r="H45">
        <f>_xlfn.IFNA(VLOOKUP(Table_Collate[[#This Row],[Current State]],Score,2,FALSE),0)</f>
        <v>1</v>
      </c>
      <c r="X45" t="s">
        <v>1767</v>
      </c>
      <c r="Y45" t="s">
        <v>178</v>
      </c>
      <c r="Z45" t="s">
        <v>1785</v>
      </c>
      <c r="AA45" t="s">
        <v>1786</v>
      </c>
      <c r="AB45" s="27">
        <v>0.2</v>
      </c>
      <c r="AC45">
        <v>19</v>
      </c>
      <c r="AD45">
        <f>IFERROR(VLOOKUP(Table_Collate_G_CAT[[#This Row],[ID]],G_CAT,4,FALSE),0)</f>
        <v>0</v>
      </c>
      <c r="AE45" cm="1">
        <f t="array" aca="1" ref="AE45" ca="1">IFERROR(_xlfn.XLOOKUP(Table_Collate_G_CAT[[#This Row],[Response]],INDIRECT(Table_Collate_G_CAT[[#This Row],[Response ID]],TRUE),INDIRECT(Table_Collate_G_CAT[[#This Row],[Answer ID]],TRUE)),0)</f>
        <v>0</v>
      </c>
      <c r="AF45">
        <f ca="1">Table_Collate_G_CAT[[#This Row],[Question Weight]]*Table_Collate_G_CAT[[#This Row],[Subsector Weight]]*Table_Collate_G_CAT[[#This Row],[Score]]</f>
        <v>0</v>
      </c>
      <c r="AH45" s="1" t="str">
        <f ca="1">_xlfn.LET(_xlpm.criticalityScore,(MAX(Table_Aggregate_G_CAT[Total Weighted Score])/100),IF(AND(_xlpm.criticalityScore&gt;0,_xlpm.criticalityScore&lt;=1/3),"Low",IF(AND(_xlpm.criticalityScore&gt;1/3,_xlpm.criticalityScore&lt;=2/3),"Moderate",IF(AND(_xlpm.criticalityScore&gt;2/3,_xlpm.criticalityScore&lt;=1),"High","N/A"))))</f>
        <v>N/A</v>
      </c>
    </row>
    <row r="46" spans="1:35">
      <c r="A46" t="s">
        <v>429</v>
      </c>
      <c r="B46">
        <v>0</v>
      </c>
      <c r="C46" t="s">
        <v>427</v>
      </c>
      <c r="D46" t="s">
        <v>1272</v>
      </c>
      <c r="E46">
        <v>1</v>
      </c>
      <c r="F46">
        <v>1</v>
      </c>
      <c r="G46" t="str">
        <f>VLOOKUP(Table_Collate[[#This Row],[Practice ID]],CPM,4,FALSE)</f>
        <v>Yes</v>
      </c>
      <c r="H46">
        <f>_xlfn.IFNA(VLOOKUP(Table_Collate[[#This Row],[Current State]],Score,2,FALSE),0)</f>
        <v>1</v>
      </c>
      <c r="X46" t="s">
        <v>1767</v>
      </c>
      <c r="Y46" t="s">
        <v>181</v>
      </c>
      <c r="Z46" t="s">
        <v>1787</v>
      </c>
      <c r="AA46" t="s">
        <v>1788</v>
      </c>
      <c r="AB46" s="40">
        <v>0.17499999999999999</v>
      </c>
      <c r="AC46">
        <v>19</v>
      </c>
      <c r="AD46">
        <f>IFERROR(VLOOKUP(Table_Collate_G_CAT[[#This Row],[ID]],G_CAT,4,FALSE),0)</f>
        <v>0</v>
      </c>
      <c r="AE46" cm="1">
        <f t="array" aca="1" ref="AE46" ca="1">IFERROR(_xlfn.XLOOKUP(Table_Collate_G_CAT[[#This Row],[Response]],INDIRECT(Table_Collate_G_CAT[[#This Row],[Response ID]],TRUE),INDIRECT(Table_Collate_G_CAT[[#This Row],[Answer ID]],TRUE)),0)</f>
        <v>0</v>
      </c>
      <c r="AF46">
        <f ca="1">Table_Collate_G_CAT[[#This Row],[Question Weight]]*Table_Collate_G_CAT[[#This Row],[Subsector Weight]]*Table_Collate_G_CAT[[#This Row],[Score]]</f>
        <v>0</v>
      </c>
    </row>
    <row r="47" spans="1:35">
      <c r="A47" t="s">
        <v>432</v>
      </c>
      <c r="B47">
        <v>0</v>
      </c>
      <c r="C47" t="s">
        <v>427</v>
      </c>
      <c r="D47" t="s">
        <v>1272</v>
      </c>
      <c r="E47">
        <v>1</v>
      </c>
      <c r="F47">
        <v>1</v>
      </c>
      <c r="G47" t="str">
        <f>VLOOKUP(Table_Collate[[#This Row],[Practice ID]],CPM,4,FALSE)</f>
        <v>Yes</v>
      </c>
      <c r="H47">
        <f>_xlfn.IFNA(VLOOKUP(Table_Collate[[#This Row],[Current State]],Score,2,FALSE),0)</f>
        <v>1</v>
      </c>
      <c r="X47" t="s">
        <v>1767</v>
      </c>
      <c r="Y47" t="s">
        <v>184</v>
      </c>
      <c r="Z47" t="s">
        <v>1789</v>
      </c>
      <c r="AA47" t="s">
        <v>1790</v>
      </c>
      <c r="AB47" s="27">
        <v>0.05</v>
      </c>
      <c r="AC47">
        <v>19</v>
      </c>
      <c r="AD47">
        <f>IFERROR(VLOOKUP(Table_Collate_G_CAT[[#This Row],[ID]],G_CAT,4,FALSE),0)</f>
        <v>0</v>
      </c>
      <c r="AE47" cm="1">
        <f t="array" aca="1" ref="AE47" ca="1">IFERROR(_xlfn.XLOOKUP(Table_Collate_G_CAT[[#This Row],[Response]],INDIRECT(Table_Collate_G_CAT[[#This Row],[Response ID]],TRUE),INDIRECT(Table_Collate_G_CAT[[#This Row],[Answer ID]],TRUE)),0)</f>
        <v>0</v>
      </c>
      <c r="AF47">
        <f ca="1">Table_Collate_G_CAT[[#This Row],[Question Weight]]*Table_Collate_G_CAT[[#This Row],[Subsector Weight]]*Table_Collate_G_CAT[[#This Row],[Score]]</f>
        <v>0</v>
      </c>
    </row>
    <row r="48" spans="1:35">
      <c r="A48" t="s">
        <v>435</v>
      </c>
      <c r="B48">
        <v>0</v>
      </c>
      <c r="C48" t="s">
        <v>427</v>
      </c>
      <c r="D48" t="s">
        <v>1272</v>
      </c>
      <c r="E48">
        <v>2</v>
      </c>
      <c r="F48">
        <v>2</v>
      </c>
      <c r="G48" t="str">
        <f>VLOOKUP(Table_Collate[[#This Row],[Practice ID]],CPM,4,FALSE)</f>
        <v>Fully Implemented</v>
      </c>
      <c r="H48">
        <f>_xlfn.IFNA(VLOOKUP(Table_Collate[[#This Row],[Current State]],Score,2,FALSE),0)</f>
        <v>1</v>
      </c>
      <c r="X48" t="s">
        <v>1767</v>
      </c>
      <c r="Y48" t="s">
        <v>187</v>
      </c>
      <c r="Z48" t="s">
        <v>1791</v>
      </c>
      <c r="AA48" t="s">
        <v>1792</v>
      </c>
      <c r="AB48" s="40">
        <v>2.5000000000000001E-2</v>
      </c>
      <c r="AC48">
        <v>19</v>
      </c>
      <c r="AD48">
        <f>IFERROR(VLOOKUP(Table_Collate_G_CAT[[#This Row],[ID]],G_CAT,4,FALSE),0)</f>
        <v>0</v>
      </c>
      <c r="AE48" cm="1">
        <f t="array" aca="1" ref="AE48" ca="1">IFERROR(_xlfn.XLOOKUP(Table_Collate_G_CAT[[#This Row],[Response]],INDIRECT(Table_Collate_G_CAT[[#This Row],[Response ID]],TRUE),INDIRECT(Table_Collate_G_CAT[[#This Row],[Answer ID]],TRUE)),0)</f>
        <v>0</v>
      </c>
      <c r="AF48">
        <f ca="1">Table_Collate_G_CAT[[#This Row],[Question Weight]]*Table_Collate_G_CAT[[#This Row],[Subsector Weight]]*Table_Collate_G_CAT[[#This Row],[Score]]</f>
        <v>0</v>
      </c>
    </row>
    <row r="49" spans="1:32">
      <c r="A49" t="s">
        <v>438</v>
      </c>
      <c r="B49">
        <v>0</v>
      </c>
      <c r="C49" t="s">
        <v>427</v>
      </c>
      <c r="D49" t="s">
        <v>1272</v>
      </c>
      <c r="E49">
        <v>2</v>
      </c>
      <c r="F49">
        <v>2</v>
      </c>
      <c r="G49" t="str">
        <f>VLOOKUP(Table_Collate[[#This Row],[Practice ID]],CPM,4,FALSE)</f>
        <v>Fully Implemented</v>
      </c>
      <c r="H49">
        <f>_xlfn.IFNA(VLOOKUP(Table_Collate[[#This Row],[Current State]],Score,2,FALSE),0)</f>
        <v>1</v>
      </c>
      <c r="X49" t="s">
        <v>1767</v>
      </c>
      <c r="Y49" t="s">
        <v>190</v>
      </c>
      <c r="Z49" t="s">
        <v>1793</v>
      </c>
      <c r="AA49" t="s">
        <v>1794</v>
      </c>
      <c r="AB49" s="40">
        <v>2.5000000000000001E-2</v>
      </c>
      <c r="AC49">
        <v>19</v>
      </c>
      <c r="AD49">
        <f>IFERROR(VLOOKUP(Table_Collate_G_CAT[[#This Row],[ID]],G_CAT,4,FALSE),0)</f>
        <v>0</v>
      </c>
      <c r="AE49" cm="1">
        <f t="array" aca="1" ref="AE49" ca="1">IFERROR(_xlfn.XLOOKUP(Table_Collate_G_CAT[[#This Row],[Response]],INDIRECT(Table_Collate_G_CAT[[#This Row],[Response ID]],TRUE),INDIRECT(Table_Collate_G_CAT[[#This Row],[Answer ID]],TRUE)),0)</f>
        <v>0</v>
      </c>
      <c r="AF49">
        <f ca="1">Table_Collate_G_CAT[[#This Row],[Question Weight]]*Table_Collate_G_CAT[[#This Row],[Subsector Weight]]*Table_Collate_G_CAT[[#This Row],[Score]]</f>
        <v>0</v>
      </c>
    </row>
    <row r="50" spans="1:32">
      <c r="A50" t="s">
        <v>441</v>
      </c>
      <c r="B50">
        <v>0</v>
      </c>
      <c r="C50" t="s">
        <v>427</v>
      </c>
      <c r="D50" t="s">
        <v>1272</v>
      </c>
      <c r="E50">
        <v>2</v>
      </c>
      <c r="F50">
        <v>2</v>
      </c>
      <c r="G50" t="str">
        <f>VLOOKUP(Table_Collate[[#This Row],[Practice ID]],CPM,4,FALSE)</f>
        <v>Fully Implemented</v>
      </c>
      <c r="H50">
        <f>_xlfn.IFNA(VLOOKUP(Table_Collate[[#This Row],[Current State]],Score,2,FALSE),0)</f>
        <v>1</v>
      </c>
      <c r="X50" t="s">
        <v>1767</v>
      </c>
      <c r="Y50" t="s">
        <v>193</v>
      </c>
      <c r="Z50" t="s">
        <v>1795</v>
      </c>
      <c r="AA50" t="s">
        <v>1796</v>
      </c>
      <c r="AB50" s="27">
        <v>0</v>
      </c>
      <c r="AC50">
        <v>19</v>
      </c>
      <c r="AD50">
        <f>IFERROR(VLOOKUP(Table_Collate_G_CAT[[#This Row],[ID]],G_CAT,4,FALSE),0)</f>
        <v>0</v>
      </c>
      <c r="AE50" cm="1">
        <f t="array" aca="1" ref="AE50" ca="1">IFERROR(_xlfn.XLOOKUP(Table_Collate_G_CAT[[#This Row],[Response]],INDIRECT(Table_Collate_G_CAT[[#This Row],[Response ID]],TRUE),INDIRECT(Table_Collate_G_CAT[[#This Row],[Answer ID]],TRUE)),0)</f>
        <v>0</v>
      </c>
      <c r="AF50">
        <f ca="1">Table_Collate_G_CAT[[#This Row],[Question Weight]]*Table_Collate_G_CAT[[#This Row],[Subsector Weight]]*Table_Collate_G_CAT[[#This Row],[Score]]</f>
        <v>0</v>
      </c>
    </row>
    <row r="51" spans="1:32">
      <c r="A51" t="s">
        <v>444</v>
      </c>
      <c r="B51">
        <v>0</v>
      </c>
      <c r="C51" t="s">
        <v>427</v>
      </c>
      <c r="D51" t="s">
        <v>1272</v>
      </c>
      <c r="E51">
        <v>2</v>
      </c>
      <c r="F51">
        <v>2</v>
      </c>
      <c r="G51" t="str">
        <f>VLOOKUP(Table_Collate[[#This Row],[Practice ID]],CPM,4,FALSE)</f>
        <v>Fully Implemented</v>
      </c>
      <c r="H51">
        <f>_xlfn.IFNA(VLOOKUP(Table_Collate[[#This Row],[Current State]],Score,2,FALSE),0)</f>
        <v>1</v>
      </c>
      <c r="X51" t="s">
        <v>1770</v>
      </c>
      <c r="Y51" t="s">
        <v>195</v>
      </c>
      <c r="Z51" t="s">
        <v>1797</v>
      </c>
      <c r="AA51" t="s">
        <v>1798</v>
      </c>
      <c r="AB51" s="27">
        <v>1</v>
      </c>
      <c r="AC51">
        <v>1</v>
      </c>
      <c r="AD51">
        <f>IFERROR(VLOOKUP(Table_Collate_G_CAT[[#This Row],[ID]],G_CAT,4,FALSE),0)</f>
        <v>0</v>
      </c>
      <c r="AE51" cm="1">
        <f t="array" aca="1" ref="AE51" ca="1">IFERROR(_xlfn.XLOOKUP(Table_Collate_G_CAT[[#This Row],[Response]],INDIRECT(Table_Collate_G_CAT[[#This Row],[Response ID]],TRUE),INDIRECT(Table_Collate_G_CAT[[#This Row],[Answer ID]],TRUE)),0)</f>
        <v>0</v>
      </c>
      <c r="AF51">
        <f ca="1">Table_Collate_G_CAT[[#This Row],[Question Weight]]*Table_Collate_G_CAT[[#This Row],[Subsector Weight]]*Table_Collate_G_CAT[[#This Row],[Score]]</f>
        <v>0</v>
      </c>
    </row>
    <row r="52" spans="1:32">
      <c r="A52" t="s">
        <v>447</v>
      </c>
      <c r="B52">
        <v>0</v>
      </c>
      <c r="C52" t="s">
        <v>427</v>
      </c>
      <c r="D52" t="s">
        <v>1272</v>
      </c>
      <c r="E52">
        <v>2</v>
      </c>
      <c r="F52">
        <v>2</v>
      </c>
      <c r="G52" t="str">
        <f>VLOOKUP(Table_Collate[[#This Row],[Practice ID]],CPM,4,FALSE)</f>
        <v>Fully Implemented</v>
      </c>
      <c r="H52">
        <f>_xlfn.IFNA(VLOOKUP(Table_Collate[[#This Row],[Current State]],Score,2,FALSE),0)</f>
        <v>1</v>
      </c>
      <c r="X52" t="s">
        <v>1770</v>
      </c>
      <c r="Y52" t="s">
        <v>198</v>
      </c>
      <c r="Z52" t="s">
        <v>1799</v>
      </c>
      <c r="AA52" t="s">
        <v>1800</v>
      </c>
      <c r="AB52" s="27">
        <v>0.75</v>
      </c>
      <c r="AC52">
        <v>31</v>
      </c>
      <c r="AD52">
        <f>IFERROR(VLOOKUP(Table_Collate_G_CAT[[#This Row],[ID]],G_CAT,4,FALSE),0)</f>
        <v>0</v>
      </c>
      <c r="AE52" cm="1">
        <f t="array" aca="1" ref="AE52" ca="1">IFERROR(_xlfn.XLOOKUP(Table_Collate_G_CAT[[#This Row],[Response]],INDIRECT(Table_Collate_G_CAT[[#This Row],[Response ID]],TRUE),INDIRECT(Table_Collate_G_CAT[[#This Row],[Answer ID]],TRUE)),0)</f>
        <v>0</v>
      </c>
      <c r="AF52">
        <f ca="1">Table_Collate_G_CAT[[#This Row],[Question Weight]]*Table_Collate_G_CAT[[#This Row],[Subsector Weight]]*Table_Collate_G_CAT[[#This Row],[Score]]</f>
        <v>0</v>
      </c>
    </row>
    <row r="53" spans="1:32">
      <c r="A53" t="s">
        <v>450</v>
      </c>
      <c r="B53">
        <v>0</v>
      </c>
      <c r="C53" t="s">
        <v>427</v>
      </c>
      <c r="D53" t="s">
        <v>1272</v>
      </c>
      <c r="E53">
        <v>2</v>
      </c>
      <c r="F53">
        <v>2</v>
      </c>
      <c r="G53" t="str">
        <f>VLOOKUP(Table_Collate[[#This Row],[Practice ID]],CPM,4,FALSE)</f>
        <v>Fully Implemented</v>
      </c>
      <c r="H53">
        <f>_xlfn.IFNA(VLOOKUP(Table_Collate[[#This Row],[Current State]],Score,2,FALSE),0)</f>
        <v>1</v>
      </c>
      <c r="X53" t="s">
        <v>1770</v>
      </c>
      <c r="Y53" t="s">
        <v>201</v>
      </c>
      <c r="Z53" t="s">
        <v>1801</v>
      </c>
      <c r="AA53" t="s">
        <v>1802</v>
      </c>
      <c r="AB53" s="27">
        <v>0.25</v>
      </c>
      <c r="AC53">
        <v>31</v>
      </c>
      <c r="AD53">
        <f>IFERROR(VLOOKUP(Table_Collate_G_CAT[[#This Row],[ID]],G_CAT,4,FALSE),0)</f>
        <v>0</v>
      </c>
      <c r="AE53" cm="1">
        <f t="array" aca="1" ref="AE53" ca="1">IFERROR(_xlfn.XLOOKUP(Table_Collate_G_CAT[[#This Row],[Response]],INDIRECT(Table_Collate_G_CAT[[#This Row],[Response ID]],TRUE),INDIRECT(Table_Collate_G_CAT[[#This Row],[Answer ID]],TRUE)),0)</f>
        <v>0</v>
      </c>
      <c r="AF53">
        <f ca="1">Table_Collate_G_CAT[[#This Row],[Question Weight]]*Table_Collate_G_CAT[[#This Row],[Subsector Weight]]*Table_Collate_G_CAT[[#This Row],[Score]]</f>
        <v>0</v>
      </c>
    </row>
    <row r="54" spans="1:32">
      <c r="A54" t="s">
        <v>453</v>
      </c>
      <c r="B54">
        <v>0</v>
      </c>
      <c r="C54" t="s">
        <v>427</v>
      </c>
      <c r="D54" t="s">
        <v>1272</v>
      </c>
      <c r="E54">
        <v>3</v>
      </c>
      <c r="F54">
        <v>3</v>
      </c>
      <c r="G54" t="str">
        <f>VLOOKUP(Table_Collate[[#This Row],[Practice ID]],CPM,4,FALSE)</f>
        <v>Fully Implemented</v>
      </c>
      <c r="H54">
        <f>_xlfn.IFNA(VLOOKUP(Table_Collate[[#This Row],[Current State]],Score,2,FALSE),0)</f>
        <v>1</v>
      </c>
      <c r="X54" t="s">
        <v>1770</v>
      </c>
      <c r="Y54" t="s">
        <v>204</v>
      </c>
      <c r="Z54" t="s">
        <v>1803</v>
      </c>
      <c r="AA54" t="s">
        <v>1804</v>
      </c>
      <c r="AB54" s="27">
        <v>0</v>
      </c>
      <c r="AC54">
        <v>31</v>
      </c>
      <c r="AD54">
        <f>IFERROR(VLOOKUP(Table_Collate_G_CAT[[#This Row],[ID]],G_CAT,4,FALSE),0)</f>
        <v>0</v>
      </c>
      <c r="AE54" cm="1">
        <f t="array" aca="1" ref="AE54" ca="1">IFERROR(_xlfn.XLOOKUP(Table_Collate_G_CAT[[#This Row],[Response]],INDIRECT(Table_Collate_G_CAT[[#This Row],[Response ID]],TRUE),INDIRECT(Table_Collate_G_CAT[[#This Row],[Answer ID]],TRUE)),0)</f>
        <v>0</v>
      </c>
      <c r="AF54">
        <f ca="1">Table_Collate_G_CAT[[#This Row],[Question Weight]]*Table_Collate_G_CAT[[#This Row],[Subsector Weight]]*Table_Collate_G_CAT[[#This Row],[Score]]</f>
        <v>0</v>
      </c>
    </row>
    <row r="55" spans="1:32">
      <c r="A55" t="s">
        <v>456</v>
      </c>
      <c r="B55">
        <v>0</v>
      </c>
      <c r="C55" t="s">
        <v>427</v>
      </c>
      <c r="D55" t="s">
        <v>1272</v>
      </c>
      <c r="E55">
        <v>3</v>
      </c>
      <c r="F55">
        <v>3</v>
      </c>
      <c r="G55" t="str">
        <f>VLOOKUP(Table_Collate[[#This Row],[Practice ID]],CPM,4,FALSE)</f>
        <v>Fully Implemented</v>
      </c>
      <c r="H55">
        <f>_xlfn.IFNA(VLOOKUP(Table_Collate[[#This Row],[Current State]],Score,2,FALSE),0)</f>
        <v>1</v>
      </c>
      <c r="X55" t="s">
        <v>1773</v>
      </c>
      <c r="Y55" t="s">
        <v>206</v>
      </c>
      <c r="Z55" t="s">
        <v>1805</v>
      </c>
      <c r="AA55" t="s">
        <v>1806</v>
      </c>
      <c r="AB55" s="27">
        <v>1</v>
      </c>
      <c r="AC55">
        <v>1</v>
      </c>
      <c r="AD55">
        <f>IFERROR(VLOOKUP(Table_Collate_G_CAT[[#This Row],[ID]],G_CAT,4,FALSE),0)</f>
        <v>0</v>
      </c>
      <c r="AE55" cm="1">
        <f t="array" aca="1" ref="AE55" ca="1">IFERROR(_xlfn.XLOOKUP(Table_Collate_G_CAT[[#This Row],[Response]],INDIRECT(Table_Collate_G_CAT[[#This Row],[Response ID]],TRUE),INDIRECT(Table_Collate_G_CAT[[#This Row],[Answer ID]],TRUE)),0)</f>
        <v>0</v>
      </c>
      <c r="AF55">
        <f ca="1">Table_Collate_G_CAT[[#This Row],[Question Weight]]*Table_Collate_G_CAT[[#This Row],[Subsector Weight]]*Table_Collate_G_CAT[[#This Row],[Score]]</f>
        <v>0</v>
      </c>
    </row>
    <row r="56" spans="1:32">
      <c r="A56" t="s">
        <v>459</v>
      </c>
      <c r="B56">
        <v>0</v>
      </c>
      <c r="C56" t="s">
        <v>427</v>
      </c>
      <c r="D56" t="s">
        <v>1272</v>
      </c>
      <c r="E56">
        <v>3</v>
      </c>
      <c r="F56">
        <v>3</v>
      </c>
      <c r="G56" t="str">
        <f>VLOOKUP(Table_Collate[[#This Row],[Practice ID]],CPM,4,FALSE)</f>
        <v>Fully Implemented</v>
      </c>
      <c r="H56">
        <f>_xlfn.IFNA(VLOOKUP(Table_Collate[[#This Row],[Current State]],Score,2,FALSE),0)</f>
        <v>1</v>
      </c>
      <c r="X56" t="s">
        <v>1773</v>
      </c>
      <c r="Y56" t="s">
        <v>209</v>
      </c>
      <c r="Z56" t="s">
        <v>1807</v>
      </c>
      <c r="AA56" t="s">
        <v>1808</v>
      </c>
      <c r="AB56" s="27">
        <v>0.35</v>
      </c>
      <c r="AC56">
        <v>40</v>
      </c>
      <c r="AD56">
        <f>IFERROR(VLOOKUP(Table_Collate_G_CAT[[#This Row],[ID]],G_CAT,4,FALSE),0)</f>
        <v>0</v>
      </c>
      <c r="AE56" cm="1">
        <f t="array" aca="1" ref="AE56" ca="1">IFERROR(_xlfn.XLOOKUP(Table_Collate_G_CAT[[#This Row],[Response]],INDIRECT(Table_Collate_G_CAT[[#This Row],[Response ID]],TRUE),INDIRECT(Table_Collate_G_CAT[[#This Row],[Answer ID]],TRUE)),0)</f>
        <v>0</v>
      </c>
      <c r="AF56">
        <f ca="1">Table_Collate_G_CAT[[#This Row],[Question Weight]]*Table_Collate_G_CAT[[#This Row],[Subsector Weight]]*Table_Collate_G_CAT[[#This Row],[Score]]</f>
        <v>0</v>
      </c>
    </row>
    <row r="57" spans="1:32">
      <c r="A57" t="s">
        <v>462</v>
      </c>
      <c r="B57">
        <v>0</v>
      </c>
      <c r="C57" t="s">
        <v>427</v>
      </c>
      <c r="D57" t="s">
        <v>1272</v>
      </c>
      <c r="E57">
        <v>3</v>
      </c>
      <c r="F57">
        <v>3</v>
      </c>
      <c r="G57" t="str">
        <f>VLOOKUP(Table_Collate[[#This Row],[Practice ID]],CPM,4,FALSE)</f>
        <v>Fully Implemented</v>
      </c>
      <c r="H57">
        <f>_xlfn.IFNA(VLOOKUP(Table_Collate[[#This Row],[Current State]],Score,2,FALSE),0)</f>
        <v>1</v>
      </c>
      <c r="X57" t="s">
        <v>1773</v>
      </c>
      <c r="Y57" t="s">
        <v>212</v>
      </c>
      <c r="Z57" t="s">
        <v>1809</v>
      </c>
      <c r="AA57" t="s">
        <v>1810</v>
      </c>
      <c r="AB57" s="27">
        <v>0.35</v>
      </c>
      <c r="AC57">
        <v>40</v>
      </c>
      <c r="AD57">
        <f>IFERROR(VLOOKUP(Table_Collate_G_CAT[[#This Row],[ID]],G_CAT,4,FALSE),0)</f>
        <v>0</v>
      </c>
      <c r="AE57" cm="1">
        <f t="array" aca="1" ref="AE57" ca="1">IFERROR(_xlfn.XLOOKUP(Table_Collate_G_CAT[[#This Row],[Response]],INDIRECT(Table_Collate_G_CAT[[#This Row],[Response ID]],TRUE),INDIRECT(Table_Collate_G_CAT[[#This Row],[Answer ID]],TRUE)),0)</f>
        <v>0</v>
      </c>
      <c r="AF57">
        <f ca="1">Table_Collate_G_CAT[[#This Row],[Question Weight]]*Table_Collate_G_CAT[[#This Row],[Subsector Weight]]*Table_Collate_G_CAT[[#This Row],[Score]]</f>
        <v>0</v>
      </c>
    </row>
    <row r="58" spans="1:32">
      <c r="A58" t="s">
        <v>467</v>
      </c>
      <c r="B58">
        <v>0</v>
      </c>
      <c r="C58" t="s">
        <v>465</v>
      </c>
      <c r="D58" t="s">
        <v>1272</v>
      </c>
      <c r="E58">
        <v>1</v>
      </c>
      <c r="F58">
        <v>1</v>
      </c>
      <c r="G58" t="str">
        <f>VLOOKUP(Table_Collate[[#This Row],[Practice ID]],CPM,4,FALSE)</f>
        <v>Yes</v>
      </c>
      <c r="H58">
        <f>_xlfn.IFNA(VLOOKUP(Table_Collate[[#This Row],[Current State]],Score,2,FALSE),0)</f>
        <v>1</v>
      </c>
      <c r="X58" t="s">
        <v>1773</v>
      </c>
      <c r="Y58" t="s">
        <v>215</v>
      </c>
      <c r="Z58" t="s">
        <v>1811</v>
      </c>
      <c r="AA58" t="s">
        <v>1812</v>
      </c>
      <c r="AB58" s="27">
        <v>0.15</v>
      </c>
      <c r="AC58">
        <v>40</v>
      </c>
      <c r="AD58">
        <f>IFERROR(VLOOKUP(Table_Collate_G_CAT[[#This Row],[ID]],G_CAT,4,FALSE),0)</f>
        <v>0</v>
      </c>
      <c r="AE58" cm="1">
        <f t="array" aca="1" ref="AE58" ca="1">IFERROR(_xlfn.XLOOKUP(Table_Collate_G_CAT[[#This Row],[Response]],INDIRECT(Table_Collate_G_CAT[[#This Row],[Response ID]],TRUE),INDIRECT(Table_Collate_G_CAT[[#This Row],[Answer ID]],TRUE)),0)</f>
        <v>0</v>
      </c>
      <c r="AF58">
        <f ca="1">Table_Collate_G_CAT[[#This Row],[Question Weight]]*Table_Collate_G_CAT[[#This Row],[Subsector Weight]]*Table_Collate_G_CAT[[#This Row],[Score]]</f>
        <v>0</v>
      </c>
    </row>
    <row r="59" spans="1:32">
      <c r="A59" t="s">
        <v>470</v>
      </c>
      <c r="B59">
        <v>0</v>
      </c>
      <c r="C59" t="s">
        <v>465</v>
      </c>
      <c r="D59" t="s">
        <v>1272</v>
      </c>
      <c r="E59">
        <v>2</v>
      </c>
      <c r="F59">
        <v>2</v>
      </c>
      <c r="G59" t="str">
        <f>VLOOKUP(Table_Collate[[#This Row],[Practice ID]],CPM,4,FALSE)</f>
        <v>Fully Implemented</v>
      </c>
      <c r="H59">
        <f>_xlfn.IFNA(VLOOKUP(Table_Collate[[#This Row],[Current State]],Score,2,FALSE),0)</f>
        <v>1</v>
      </c>
      <c r="X59" t="s">
        <v>1773</v>
      </c>
      <c r="Y59" t="s">
        <v>218</v>
      </c>
      <c r="Z59" t="s">
        <v>1813</v>
      </c>
      <c r="AA59" t="s">
        <v>1814</v>
      </c>
      <c r="AB59" s="27">
        <v>0.15</v>
      </c>
      <c r="AC59">
        <v>40</v>
      </c>
      <c r="AD59">
        <f>IFERROR(VLOOKUP(Table_Collate_G_CAT[[#This Row],[ID]],G_CAT,4,FALSE),0)</f>
        <v>0</v>
      </c>
      <c r="AE59" cm="1">
        <f t="array" aca="1" ref="AE59" ca="1">IFERROR(_xlfn.XLOOKUP(Table_Collate_G_CAT[[#This Row],[Response]],INDIRECT(Table_Collate_G_CAT[[#This Row],[Response ID]],TRUE),INDIRECT(Table_Collate_G_CAT[[#This Row],[Answer ID]],TRUE)),0)</f>
        <v>0</v>
      </c>
      <c r="AF59">
        <f ca="1">Table_Collate_G_CAT[[#This Row],[Question Weight]]*Table_Collate_G_CAT[[#This Row],[Subsector Weight]]*Table_Collate_G_CAT[[#This Row],[Score]]</f>
        <v>0</v>
      </c>
    </row>
    <row r="60" spans="1:32">
      <c r="A60" t="s">
        <v>473</v>
      </c>
      <c r="B60">
        <v>0</v>
      </c>
      <c r="C60" t="s">
        <v>465</v>
      </c>
      <c r="D60" t="s">
        <v>1272</v>
      </c>
      <c r="E60">
        <v>2</v>
      </c>
      <c r="F60">
        <v>2</v>
      </c>
      <c r="G60" t="str">
        <f>VLOOKUP(Table_Collate[[#This Row],[Practice ID]],CPM,4,FALSE)</f>
        <v>Fully Implemented</v>
      </c>
      <c r="H60">
        <f>_xlfn.IFNA(VLOOKUP(Table_Collate[[#This Row],[Current State]],Score,2,FALSE),0)</f>
        <v>1</v>
      </c>
      <c r="X60" t="s">
        <v>1773</v>
      </c>
      <c r="Y60" t="s">
        <v>221</v>
      </c>
      <c r="Z60" t="s">
        <v>1815</v>
      </c>
      <c r="AA60" t="s">
        <v>1816</v>
      </c>
      <c r="AB60" s="27">
        <v>0</v>
      </c>
      <c r="AC60">
        <v>40</v>
      </c>
      <c r="AD60">
        <f>IFERROR(VLOOKUP(Table_Collate_G_CAT[[#This Row],[ID]],G_CAT,4,FALSE),0)</f>
        <v>0</v>
      </c>
      <c r="AE60" cm="1">
        <f t="array" aca="1" ref="AE60" ca="1">IFERROR(_xlfn.XLOOKUP(Table_Collate_G_CAT[[#This Row],[Response]],INDIRECT(Table_Collate_G_CAT[[#This Row],[Response ID]],TRUE),INDIRECT(Table_Collate_G_CAT[[#This Row],[Answer ID]],TRUE)),0)</f>
        <v>0</v>
      </c>
      <c r="AF60">
        <f ca="1">Table_Collate_G_CAT[[#This Row],[Question Weight]]*Table_Collate_G_CAT[[#This Row],[Subsector Weight]]*Table_Collate_G_CAT[[#This Row],[Score]]</f>
        <v>0</v>
      </c>
    </row>
    <row r="61" spans="1:32">
      <c r="A61" t="s">
        <v>476</v>
      </c>
      <c r="B61">
        <v>0</v>
      </c>
      <c r="C61" t="s">
        <v>465</v>
      </c>
      <c r="D61" t="s">
        <v>1272</v>
      </c>
      <c r="E61">
        <v>3</v>
      </c>
      <c r="F61">
        <v>3</v>
      </c>
      <c r="G61" t="str">
        <f>VLOOKUP(Table_Collate[[#This Row],[Practice ID]],CPM,4,FALSE)</f>
        <v>Fully Implemented</v>
      </c>
      <c r="H61">
        <f>_xlfn.IFNA(VLOOKUP(Table_Collate[[#This Row],[Current State]],Score,2,FALSE),0)</f>
        <v>1</v>
      </c>
      <c r="X61" t="s">
        <v>1776</v>
      </c>
      <c r="Y61" t="s">
        <v>223</v>
      </c>
      <c r="Z61" t="s">
        <v>1817</v>
      </c>
      <c r="AA61" t="s">
        <v>1818</v>
      </c>
      <c r="AB61" s="27">
        <v>1</v>
      </c>
      <c r="AC61">
        <v>1</v>
      </c>
      <c r="AD61">
        <f>IFERROR(VLOOKUP(Table_Collate_G_CAT[[#This Row],[ID]],G_CAT,4,FALSE),0)</f>
        <v>0</v>
      </c>
      <c r="AE61" cm="1">
        <f t="array" aca="1" ref="AE61" ca="1">IFERROR(_xlfn.XLOOKUP(Table_Collate_G_CAT[[#This Row],[Response]],INDIRECT(Table_Collate_G_CAT[[#This Row],[Response ID]],TRUE),INDIRECT(Table_Collate_G_CAT[[#This Row],[Answer ID]],TRUE)),0)</f>
        <v>0</v>
      </c>
      <c r="AF61">
        <f ca="1">Table_Collate_G_CAT[[#This Row],[Question Weight]]*Table_Collate_G_CAT[[#This Row],[Subsector Weight]]*Table_Collate_G_CAT[[#This Row],[Score]]</f>
        <v>0</v>
      </c>
    </row>
    <row r="62" spans="1:32">
      <c r="A62" t="s">
        <v>481</v>
      </c>
      <c r="B62">
        <v>0</v>
      </c>
      <c r="C62" t="s">
        <v>479</v>
      </c>
      <c r="D62" t="s">
        <v>1272</v>
      </c>
      <c r="E62">
        <v>2</v>
      </c>
      <c r="F62">
        <v>2</v>
      </c>
      <c r="G62" t="str">
        <f>VLOOKUP(Table_Collate[[#This Row],[Practice ID]],CPM,4,FALSE)</f>
        <v>Fully Implemented</v>
      </c>
      <c r="H62">
        <f>_xlfn.IFNA(VLOOKUP(Table_Collate[[#This Row],[Current State]],Score,2,FALSE),0)</f>
        <v>1</v>
      </c>
      <c r="X62" t="s">
        <v>1776</v>
      </c>
      <c r="Y62" t="s">
        <v>226</v>
      </c>
      <c r="Z62" t="s">
        <v>1819</v>
      </c>
      <c r="AA62" t="s">
        <v>1820</v>
      </c>
      <c r="AB62" s="27">
        <v>0.8</v>
      </c>
      <c r="AC62">
        <v>40</v>
      </c>
      <c r="AD62">
        <f>IFERROR(VLOOKUP(Table_Collate_G_CAT[[#This Row],[ID]],G_CAT,4,FALSE),0)</f>
        <v>0</v>
      </c>
      <c r="AE62" cm="1">
        <f t="array" aca="1" ref="AE62" ca="1">IFERROR(_xlfn.XLOOKUP(Table_Collate_G_CAT[[#This Row],[Response]],INDIRECT(Table_Collate_G_CAT[[#This Row],[Response ID]],TRUE),INDIRECT(Table_Collate_G_CAT[[#This Row],[Answer ID]],TRUE)),0)</f>
        <v>0</v>
      </c>
      <c r="AF62">
        <f ca="1">Table_Collate_G_CAT[[#This Row],[Question Weight]]*Table_Collate_G_CAT[[#This Row],[Subsector Weight]]*Table_Collate_G_CAT[[#This Row],[Score]]</f>
        <v>0</v>
      </c>
    </row>
    <row r="63" spans="1:32">
      <c r="A63" t="s">
        <v>484</v>
      </c>
      <c r="B63">
        <v>0</v>
      </c>
      <c r="C63" t="s">
        <v>479</v>
      </c>
      <c r="D63" t="s">
        <v>1272</v>
      </c>
      <c r="E63">
        <v>3</v>
      </c>
      <c r="F63">
        <v>3</v>
      </c>
      <c r="G63" t="str">
        <f>VLOOKUP(Table_Collate[[#This Row],[Practice ID]],CPM,4,FALSE)</f>
        <v>Fully Implemented</v>
      </c>
      <c r="H63">
        <f>_xlfn.IFNA(VLOOKUP(Table_Collate[[#This Row],[Current State]],Score,2,FALSE),0)</f>
        <v>1</v>
      </c>
      <c r="X63" t="s">
        <v>1776</v>
      </c>
      <c r="Y63" t="s">
        <v>229</v>
      </c>
      <c r="Z63" t="s">
        <v>1821</v>
      </c>
      <c r="AA63" t="s">
        <v>1822</v>
      </c>
      <c r="AB63" s="27">
        <v>0.2</v>
      </c>
      <c r="AC63">
        <v>40</v>
      </c>
      <c r="AD63">
        <f>IFERROR(VLOOKUP(Table_Collate_G_CAT[[#This Row],[ID]],G_CAT,4,FALSE),0)</f>
        <v>0</v>
      </c>
      <c r="AE63" cm="1">
        <f t="array" aca="1" ref="AE63" ca="1">IFERROR(_xlfn.XLOOKUP(Table_Collate_G_CAT[[#This Row],[Response]],INDIRECT(Table_Collate_G_CAT[[#This Row],[Response ID]],TRUE),INDIRECT(Table_Collate_G_CAT[[#This Row],[Answer ID]],TRUE)),0)</f>
        <v>0</v>
      </c>
      <c r="AF63">
        <f ca="1">Table_Collate_G_CAT[[#This Row],[Question Weight]]*Table_Collate_G_CAT[[#This Row],[Subsector Weight]]*Table_Collate_G_CAT[[#This Row],[Score]]</f>
        <v>0</v>
      </c>
    </row>
    <row r="64" spans="1:32">
      <c r="A64" t="s">
        <v>489</v>
      </c>
      <c r="B64">
        <v>1</v>
      </c>
      <c r="C64" t="s">
        <v>487</v>
      </c>
      <c r="D64" t="s">
        <v>1272</v>
      </c>
      <c r="E64">
        <v>2</v>
      </c>
      <c r="F64">
        <v>1</v>
      </c>
      <c r="G64" t="str">
        <f>VLOOKUP(Table_Collate[[#This Row],[Practice ID]],CPM,4,FALSE)</f>
        <v>Not Present - Not Applicable</v>
      </c>
      <c r="H64">
        <f>_xlfn.IFNA(VLOOKUP(Table_Collate[[#This Row],[Current State]],Score,2,FALSE),0)</f>
        <v>1</v>
      </c>
      <c r="X64" t="s">
        <v>1776</v>
      </c>
      <c r="Y64" t="s">
        <v>231</v>
      </c>
      <c r="Z64" t="s">
        <v>1823</v>
      </c>
      <c r="AA64" t="s">
        <v>1824</v>
      </c>
      <c r="AB64" s="27">
        <v>0</v>
      </c>
      <c r="AC64">
        <v>40</v>
      </c>
      <c r="AD64">
        <f>IFERROR(VLOOKUP(Table_Collate_G_CAT[[#This Row],[ID]],G_CAT,4,FALSE),0)</f>
        <v>0</v>
      </c>
      <c r="AE64" cm="1">
        <f t="array" aca="1" ref="AE64" ca="1">IFERROR(_xlfn.XLOOKUP(Table_Collate_G_CAT[[#This Row],[Response]],INDIRECT(Table_Collate_G_CAT[[#This Row],[Response ID]],TRUE),INDIRECT(Table_Collate_G_CAT[[#This Row],[Answer ID]],TRUE)),0)</f>
        <v>0</v>
      </c>
      <c r="AF64">
        <f ca="1">Table_Collate_G_CAT[[#This Row],[Question Weight]]*Table_Collate_G_CAT[[#This Row],[Subsector Weight]]*Table_Collate_G_CAT[[#This Row],[Score]]</f>
        <v>0</v>
      </c>
    </row>
    <row r="65" spans="1:35">
      <c r="A65" t="s">
        <v>493</v>
      </c>
      <c r="B65">
        <v>1</v>
      </c>
      <c r="C65" t="s">
        <v>487</v>
      </c>
      <c r="D65" t="s">
        <v>1272</v>
      </c>
      <c r="E65">
        <v>2</v>
      </c>
      <c r="F65">
        <v>1</v>
      </c>
      <c r="G65" t="str">
        <f>VLOOKUP(Table_Collate[[#This Row],[Practice ID]],CPM,4,FALSE)</f>
        <v>Present - Risk Accepted</v>
      </c>
      <c r="H65">
        <f>_xlfn.IFNA(VLOOKUP(Table_Collate[[#This Row],[Current State]],Score,2,FALSE),0)</f>
        <v>0</v>
      </c>
      <c r="X65" t="s">
        <v>1779</v>
      </c>
      <c r="Y65" t="s">
        <v>233</v>
      </c>
      <c r="Z65" t="s">
        <v>1825</v>
      </c>
      <c r="AA65" t="s">
        <v>1826</v>
      </c>
      <c r="AB65" s="27">
        <v>1</v>
      </c>
      <c r="AC65">
        <v>1</v>
      </c>
      <c r="AD65">
        <f>IFERROR(VLOOKUP(Table_Collate_G_CAT[[#This Row],[ID]],G_CAT,4,FALSE),0)</f>
        <v>0</v>
      </c>
      <c r="AE65" cm="1">
        <f t="array" aca="1" ref="AE65" ca="1">IFERROR(_xlfn.XLOOKUP(Table_Collate_G_CAT[[#This Row],[Response]],INDIRECT(Table_Collate_G_CAT[[#This Row],[Response ID]],TRUE),INDIRECT(Table_Collate_G_CAT[[#This Row],[Answer ID]],TRUE)),0)</f>
        <v>0</v>
      </c>
      <c r="AF65">
        <f ca="1">Table_Collate_G_CAT[[#This Row],[Question Weight]]*Table_Collate_G_CAT[[#This Row],[Subsector Weight]]*Table_Collate_G_CAT[[#This Row],[Score]]</f>
        <v>0</v>
      </c>
    </row>
    <row r="66" spans="1:35">
      <c r="A66" t="s">
        <v>497</v>
      </c>
      <c r="B66">
        <v>1</v>
      </c>
      <c r="C66" t="s">
        <v>487</v>
      </c>
      <c r="D66" t="s">
        <v>1272</v>
      </c>
      <c r="E66">
        <v>2</v>
      </c>
      <c r="F66">
        <v>2</v>
      </c>
      <c r="G66" t="str">
        <f>VLOOKUP(Table_Collate[[#This Row],[Practice ID]],CPM,4,FALSE)</f>
        <v>Not Present - Not Applicable</v>
      </c>
      <c r="H66">
        <f>_xlfn.IFNA(VLOOKUP(Table_Collate[[#This Row],[Current State]],Score,2,FALSE),0)</f>
        <v>1</v>
      </c>
      <c r="X66" t="s">
        <v>1779</v>
      </c>
      <c r="Y66" t="s">
        <v>236</v>
      </c>
      <c r="Z66" t="s">
        <v>1827</v>
      </c>
      <c r="AA66" t="s">
        <v>1828</v>
      </c>
      <c r="AB66" s="27">
        <v>0</v>
      </c>
      <c r="AC66">
        <v>1</v>
      </c>
      <c r="AD66">
        <f>IFERROR(VLOOKUP(Table_Collate_G_CAT[[#This Row],[ID]],G_CAT,4,FALSE),0)</f>
        <v>0</v>
      </c>
      <c r="AE66" cm="1">
        <f t="array" aca="1" ref="AE66" ca="1">IFERROR(_xlfn.XLOOKUP(Table_Collate_G_CAT[[#This Row],[Response]],INDIRECT(Table_Collate_G_CAT[[#This Row],[Response ID]],TRUE),INDIRECT(Table_Collate_G_CAT[[#This Row],[Answer ID]],TRUE)),0)</f>
        <v>0</v>
      </c>
      <c r="AF66">
        <f ca="1">Table_Collate_G_CAT[[#This Row],[Question Weight]]*Table_Collate_G_CAT[[#This Row],[Subsector Weight]]*Table_Collate_G_CAT[[#This Row],[Score]]</f>
        <v>0</v>
      </c>
    </row>
    <row r="67" spans="1:35">
      <c r="A67" t="s">
        <v>1038</v>
      </c>
      <c r="B67">
        <v>0</v>
      </c>
      <c r="C67" t="s">
        <v>1036</v>
      </c>
      <c r="D67" t="s">
        <v>1279</v>
      </c>
      <c r="E67">
        <v>1</v>
      </c>
      <c r="F67">
        <v>1</v>
      </c>
      <c r="G67">
        <f>VLOOKUP(Table_Collate[[#This Row],[Practice ID]],EDM,4,FALSE)</f>
        <v>0</v>
      </c>
      <c r="H67">
        <f>_xlfn.IFNA(VLOOKUP(Table_Collate[[#This Row],[Current State]],Score,2,FALSE),0)</f>
        <v>0</v>
      </c>
      <c r="AB67" s="27"/>
    </row>
    <row r="68" spans="1:35">
      <c r="A68" t="s">
        <v>1041</v>
      </c>
      <c r="B68">
        <v>0</v>
      </c>
      <c r="C68" t="s">
        <v>1036</v>
      </c>
      <c r="D68" t="s">
        <v>1279</v>
      </c>
      <c r="E68">
        <v>1</v>
      </c>
      <c r="F68">
        <v>1</v>
      </c>
      <c r="G68">
        <f>VLOOKUP(Table_Collate[[#This Row],[Practice ID]],EDM,4,FALSE)</f>
        <v>0</v>
      </c>
      <c r="H68">
        <f>_xlfn.IFNA(VLOOKUP(Table_Collate[[#This Row],[Current State]],Score,2,FALSE),0)</f>
        <v>0</v>
      </c>
      <c r="X68" t="s">
        <v>1670</v>
      </c>
      <c r="Y68" t="s">
        <v>1671</v>
      </c>
      <c r="Z68" t="s">
        <v>1672</v>
      </c>
      <c r="AA68" t="s">
        <v>1673</v>
      </c>
      <c r="AB68" s="27" t="s">
        <v>1674</v>
      </c>
      <c r="AC68" t="s">
        <v>1675</v>
      </c>
      <c r="AD68" t="s">
        <v>54</v>
      </c>
      <c r="AE68" t="s">
        <v>1676</v>
      </c>
      <c r="AF68" t="s">
        <v>1677</v>
      </c>
      <c r="AH68" t="s">
        <v>1670</v>
      </c>
      <c r="AI68" t="s">
        <v>1678</v>
      </c>
    </row>
    <row r="69" spans="1:35">
      <c r="A69" t="s">
        <v>1044</v>
      </c>
      <c r="B69">
        <v>0</v>
      </c>
      <c r="C69" t="s">
        <v>1036</v>
      </c>
      <c r="D69" t="s">
        <v>1279</v>
      </c>
      <c r="E69">
        <v>2</v>
      </c>
      <c r="F69">
        <v>2</v>
      </c>
      <c r="G69">
        <f>VLOOKUP(Table_Collate[[#This Row],[Practice ID]],EDM,4,FALSE)</f>
        <v>0</v>
      </c>
      <c r="H69">
        <f>_xlfn.IFNA(VLOOKUP(Table_Collate[[#This Row],[Current State]],Score,2,FALSE),0)</f>
        <v>0</v>
      </c>
      <c r="X69" t="s">
        <v>1829</v>
      </c>
      <c r="Y69" t="s">
        <v>241</v>
      </c>
      <c r="Z69" t="s">
        <v>1830</v>
      </c>
      <c r="AA69" t="s">
        <v>1831</v>
      </c>
      <c r="AB69" s="27">
        <v>1</v>
      </c>
      <c r="AC69">
        <v>1</v>
      </c>
      <c r="AD69">
        <f>IFERROR(VLOOKUP(Table_Collate_L_CAT[[#This Row],[ID]],L_CAT,5,FALSE),0)</f>
        <v>0</v>
      </c>
      <c r="AE69" cm="1">
        <f t="array" aca="1" ref="AE69" ca="1">IFERROR(_xlfn.XLOOKUP(Table_Collate_L_CAT[[#This Row],[Response]],INDIRECT(Table_Collate_L_CAT[[#This Row],[Response ID]],TRUE),INDIRECT(Table_Collate_L_CAT[[#This Row],[Answer ID]],TRUE)),0)</f>
        <v>0</v>
      </c>
      <c r="AF69">
        <f ca="1">Table_Collate_L_CAT[[#This Row],[Question Weight]]*Table_Collate_L_CAT[[#This Row],[Subsector Weight]]*Table_Collate_L_CAT[[#This Row],[Score]]</f>
        <v>0</v>
      </c>
      <c r="AH69" s="42" t="s">
        <v>1829</v>
      </c>
      <c r="AI69" s="41">
        <f ca="1">SUMIFS(Table_Collate_L_CAT[Weighted Score],Table_Collate_L_CAT[Subsector],Table_Aggregate_L_CAT[[#This Row],[Subsector]])</f>
        <v>0</v>
      </c>
    </row>
    <row r="70" spans="1:35">
      <c r="A70" t="s">
        <v>1047</v>
      </c>
      <c r="B70">
        <v>0</v>
      </c>
      <c r="C70" t="s">
        <v>1036</v>
      </c>
      <c r="D70" t="s">
        <v>1279</v>
      </c>
      <c r="E70">
        <v>2</v>
      </c>
      <c r="F70">
        <v>2</v>
      </c>
      <c r="G70">
        <f>VLOOKUP(Table_Collate[[#This Row],[Practice ID]],EDM,4,FALSE)</f>
        <v>0</v>
      </c>
      <c r="H70">
        <f>_xlfn.IFNA(VLOOKUP(Table_Collate[[#This Row],[Current State]],Score,2,FALSE),0)</f>
        <v>0</v>
      </c>
      <c r="X70" t="s">
        <v>1829</v>
      </c>
      <c r="Y70" t="s">
        <v>245</v>
      </c>
      <c r="Z70" t="s">
        <v>1832</v>
      </c>
      <c r="AA70" t="s">
        <v>1833</v>
      </c>
      <c r="AB70" s="27">
        <v>1</v>
      </c>
      <c r="AC70">
        <v>30</v>
      </c>
      <c r="AD70">
        <f>IFERROR(VLOOKUP(Table_Collate_L_CAT[[#This Row],[ID]],L_CAT,5,FALSE),0)</f>
        <v>0</v>
      </c>
      <c r="AE70" cm="1">
        <f t="array" aca="1" ref="AE70" ca="1">IFERROR(_xlfn.XLOOKUP(Table_Collate_L_CAT[[#This Row],[Response]],INDIRECT(Table_Collate_L_CAT[[#This Row],[Response ID]],TRUE),INDIRECT(Table_Collate_L_CAT[[#This Row],[Answer ID]],TRUE)),0)</f>
        <v>0</v>
      </c>
      <c r="AF70">
        <f ca="1">Table_Collate_L_CAT[[#This Row],[Question Weight]]*Table_Collate_L_CAT[[#This Row],[Subsector Weight]]*Table_Collate_L_CAT[[#This Row],[Score]]</f>
        <v>0</v>
      </c>
      <c r="AH70" s="42" t="s">
        <v>1834</v>
      </c>
      <c r="AI70" s="41">
        <f ca="1">SUMIFS(Table_Collate_L_CAT[Weighted Score],Table_Collate_L_CAT[Subsector],Table_Aggregate_L_CAT[[#This Row],[Subsector]])</f>
        <v>0</v>
      </c>
    </row>
    <row r="71" spans="1:35">
      <c r="A71" t="s">
        <v>1050</v>
      </c>
      <c r="B71">
        <v>0</v>
      </c>
      <c r="C71" t="s">
        <v>1036</v>
      </c>
      <c r="D71" t="s">
        <v>1279</v>
      </c>
      <c r="E71">
        <v>2</v>
      </c>
      <c r="F71">
        <v>2</v>
      </c>
      <c r="G71">
        <f>VLOOKUP(Table_Collate[[#This Row],[Practice ID]],EDM,4,FALSE)</f>
        <v>0</v>
      </c>
      <c r="H71">
        <f>_xlfn.IFNA(VLOOKUP(Table_Collate[[#This Row],[Current State]],Score,2,FALSE),0)</f>
        <v>0</v>
      </c>
      <c r="X71" t="s">
        <v>1834</v>
      </c>
      <c r="Y71" t="s">
        <v>250</v>
      </c>
      <c r="Z71" t="s">
        <v>1835</v>
      </c>
      <c r="AA71" t="s">
        <v>1836</v>
      </c>
      <c r="AB71" s="27">
        <v>1</v>
      </c>
      <c r="AC71">
        <v>1</v>
      </c>
      <c r="AD71">
        <f>IFERROR(VLOOKUP(Table_Collate_L_CAT[[#This Row],[ID]],L_CAT,5,FALSE),0)</f>
        <v>0</v>
      </c>
      <c r="AE71" cm="1">
        <f t="array" aca="1" ref="AE71" ca="1">IFERROR(_xlfn.XLOOKUP(Table_Collate_L_CAT[[#This Row],[Response]],INDIRECT(Table_Collate_L_CAT[[#This Row],[Response ID]],TRUE),INDIRECT(Table_Collate_L_CAT[[#This Row],[Answer ID]],TRUE)),0)</f>
        <v>0</v>
      </c>
      <c r="AF71">
        <f ca="1">Table_Collate_L_CAT[[#This Row],[Question Weight]]*Table_Collate_L_CAT[[#This Row],[Subsector Weight]]*Table_Collate_L_CAT[[#This Row],[Score]]</f>
        <v>0</v>
      </c>
      <c r="AH71" s="42" t="s">
        <v>1837</v>
      </c>
      <c r="AI71" s="41">
        <f ca="1">SUMIFS(Table_Collate_L_CAT[Weighted Score],Table_Collate_L_CAT[Subsector],Table_Aggregate_L_CAT[[#This Row],[Subsector]])</f>
        <v>0</v>
      </c>
    </row>
    <row r="72" spans="1:35">
      <c r="A72" t="s">
        <v>1053</v>
      </c>
      <c r="B72">
        <v>0</v>
      </c>
      <c r="C72" t="s">
        <v>1036</v>
      </c>
      <c r="D72" t="s">
        <v>1279</v>
      </c>
      <c r="E72">
        <v>2</v>
      </c>
      <c r="F72">
        <v>2</v>
      </c>
      <c r="G72">
        <f>VLOOKUP(Table_Collate[[#This Row],[Practice ID]],EDM,4,FALSE)</f>
        <v>0</v>
      </c>
      <c r="H72">
        <f>_xlfn.IFNA(VLOOKUP(Table_Collate[[#This Row],[Current State]],Score,2,FALSE),0)</f>
        <v>0</v>
      </c>
      <c r="X72" t="s">
        <v>1834</v>
      </c>
      <c r="Y72" t="s">
        <v>254</v>
      </c>
      <c r="Z72" t="s">
        <v>1838</v>
      </c>
      <c r="AA72" t="s">
        <v>1839</v>
      </c>
      <c r="AB72" s="27">
        <v>0.5</v>
      </c>
      <c r="AC72">
        <v>75</v>
      </c>
      <c r="AD72">
        <f>IFERROR(VLOOKUP(Table_Collate_L_CAT[[#This Row],[ID]],L_CAT,5,FALSE),0)</f>
        <v>0</v>
      </c>
      <c r="AE72" cm="1">
        <f t="array" aca="1" ref="AE72" ca="1">IFERROR(_xlfn.XLOOKUP(Table_Collate_L_CAT[[#This Row],[Response]],INDIRECT(Table_Collate_L_CAT[[#This Row],[Response ID]],TRUE),INDIRECT(Table_Collate_L_CAT[[#This Row],[Answer ID]],TRUE)),0)</f>
        <v>0</v>
      </c>
      <c r="AF72">
        <f ca="1">Table_Collate_L_CAT[[#This Row],[Question Weight]]*Table_Collate_L_CAT[[#This Row],[Subsector Weight]]*Table_Collate_L_CAT[[#This Row],[Score]]</f>
        <v>0</v>
      </c>
      <c r="AH72" s="42" t="s">
        <v>1840</v>
      </c>
      <c r="AI72" s="41">
        <f ca="1">SUMIFS(Table_Collate_L_CAT[Weighted Score],Table_Collate_L_CAT[Subsector],Table_Aggregate_L_CAT[[#This Row],[Subsector]])</f>
        <v>0</v>
      </c>
    </row>
    <row r="73" spans="1:35">
      <c r="A73" t="s">
        <v>1056</v>
      </c>
      <c r="B73">
        <v>0</v>
      </c>
      <c r="C73" t="s">
        <v>1036</v>
      </c>
      <c r="D73" t="s">
        <v>1279</v>
      </c>
      <c r="E73">
        <v>3</v>
      </c>
      <c r="F73">
        <v>3</v>
      </c>
      <c r="G73">
        <f>VLOOKUP(Table_Collate[[#This Row],[Practice ID]],EDM,4,FALSE)</f>
        <v>0</v>
      </c>
      <c r="H73">
        <f>_xlfn.IFNA(VLOOKUP(Table_Collate[[#This Row],[Current State]],Score,2,FALSE),0)</f>
        <v>0</v>
      </c>
      <c r="X73" t="s">
        <v>1834</v>
      </c>
      <c r="Y73" t="s">
        <v>258</v>
      </c>
      <c r="Z73" t="s">
        <v>1841</v>
      </c>
      <c r="AA73" t="s">
        <v>1842</v>
      </c>
      <c r="AB73" s="27">
        <v>0.3</v>
      </c>
      <c r="AC73">
        <v>75</v>
      </c>
      <c r="AD73">
        <f>IFERROR(VLOOKUP(Table_Collate_L_CAT[[#This Row],[ID]],L_CAT,5,FALSE),0)</f>
        <v>0</v>
      </c>
      <c r="AE73" cm="1">
        <f t="array" aca="1" ref="AE73" ca="1">IFERROR(_xlfn.XLOOKUP(Table_Collate_L_CAT[[#This Row],[Response]],INDIRECT(Table_Collate_L_CAT[[#This Row],[Response ID]],TRUE),INDIRECT(Table_Collate_L_CAT[[#This Row],[Answer ID]],TRUE)),0)</f>
        <v>0</v>
      </c>
      <c r="AF73">
        <f ca="1">Table_Collate_L_CAT[[#This Row],[Question Weight]]*Table_Collate_L_CAT[[#This Row],[Subsector Weight]]*Table_Collate_L_CAT[[#This Row],[Score]]</f>
        <v>0</v>
      </c>
      <c r="AH73" s="42" t="s">
        <v>1843</v>
      </c>
      <c r="AI73" s="41">
        <f ca="1">SUMIFS(Table_Collate_L_CAT[Weighted Score],Table_Collate_L_CAT[Subsector],Table_Aggregate_L_CAT[[#This Row],[Subsector]])</f>
        <v>0</v>
      </c>
    </row>
    <row r="74" spans="1:35">
      <c r="A74" t="s">
        <v>1061</v>
      </c>
      <c r="B74">
        <v>0</v>
      </c>
      <c r="C74" t="s">
        <v>1059</v>
      </c>
      <c r="D74" t="s">
        <v>1279</v>
      </c>
      <c r="E74">
        <v>1</v>
      </c>
      <c r="F74">
        <v>1</v>
      </c>
      <c r="G74">
        <f>VLOOKUP(Table_Collate[[#This Row],[Practice ID]],EDM,4,FALSE)</f>
        <v>0</v>
      </c>
      <c r="H74">
        <f>_xlfn.IFNA(VLOOKUP(Table_Collate[[#This Row],[Current State]],Score,2,FALSE),0)</f>
        <v>0</v>
      </c>
      <c r="X74" t="s">
        <v>1834</v>
      </c>
      <c r="Y74" t="s">
        <v>263</v>
      </c>
      <c r="Z74" t="s">
        <v>1844</v>
      </c>
      <c r="AA74" t="s">
        <v>1845</v>
      </c>
      <c r="AB74" s="27">
        <v>0.2</v>
      </c>
      <c r="AC74">
        <v>75</v>
      </c>
      <c r="AD74">
        <f>IFERROR(VLOOKUP(Table_Collate_L_CAT[[#This Row],[ID]],L_CAT,5,FALSE),0)</f>
        <v>0</v>
      </c>
      <c r="AE74" cm="1">
        <f t="array" aca="1" ref="AE74" ca="1">IFERROR(_xlfn.XLOOKUP(Table_Collate_L_CAT[[#This Row],[Response]],INDIRECT(Table_Collate_L_CAT[[#This Row],[Response ID]],TRUE),INDIRECT(Table_Collate_L_CAT[[#This Row],[Answer ID]],TRUE)),0)</f>
        <v>0</v>
      </c>
      <c r="AF74">
        <f ca="1">Table_Collate_L_CAT[[#This Row],[Question Weight]]*Table_Collate_L_CAT[[#This Row],[Subsector Weight]]*Table_Collate_L_CAT[[#This Row],[Score]]</f>
        <v>0</v>
      </c>
      <c r="AI74" s="41"/>
    </row>
    <row r="75" spans="1:35" ht="13.5" thickBot="1">
      <c r="A75" t="s">
        <v>1064</v>
      </c>
      <c r="B75">
        <v>0</v>
      </c>
      <c r="C75" t="s">
        <v>1059</v>
      </c>
      <c r="D75" t="s">
        <v>1279</v>
      </c>
      <c r="E75">
        <v>1</v>
      </c>
      <c r="F75">
        <v>1</v>
      </c>
      <c r="G75">
        <f>VLOOKUP(Table_Collate[[#This Row],[Practice ID]],EDM,4,FALSE)</f>
        <v>0</v>
      </c>
      <c r="H75">
        <f>_xlfn.IFNA(VLOOKUP(Table_Collate[[#This Row],[Current State]],Score,2,FALSE),0)</f>
        <v>0</v>
      </c>
      <c r="X75" t="s">
        <v>1834</v>
      </c>
      <c r="Y75" t="s">
        <v>269</v>
      </c>
      <c r="Z75" t="s">
        <v>1846</v>
      </c>
      <c r="AA75" t="s">
        <v>1847</v>
      </c>
      <c r="AB75" s="27">
        <v>0</v>
      </c>
      <c r="AC75">
        <v>75</v>
      </c>
      <c r="AD75">
        <f>IFERROR(VLOOKUP(Table_Collate_L_CAT[[#This Row],[ID]],L_CAT,5,FALSE),0)</f>
        <v>0</v>
      </c>
      <c r="AE75" cm="1">
        <f t="array" aca="1" ref="AE75" ca="1">IFERROR(_xlfn.XLOOKUP(Table_Collate_L_CAT[[#This Row],[Response]],INDIRECT(Table_Collate_L_CAT[[#This Row],[Response ID]],TRUE),INDIRECT(Table_Collate_L_CAT[[#This Row],[Answer ID]],TRUE)),0)</f>
        <v>0</v>
      </c>
      <c r="AF75">
        <f ca="1">Table_Collate_L_CAT[[#This Row],[Question Weight]]*Table_Collate_L_CAT[[#This Row],[Subsector Weight]]*Table_Collate_L_CAT[[#This Row],[Score]]</f>
        <v>0</v>
      </c>
      <c r="AH75" s="30" t="s">
        <v>1848</v>
      </c>
    </row>
    <row r="76" spans="1:35">
      <c r="A76" t="s">
        <v>1067</v>
      </c>
      <c r="B76">
        <v>0</v>
      </c>
      <c r="C76" t="s">
        <v>1059</v>
      </c>
      <c r="D76" t="s">
        <v>1279</v>
      </c>
      <c r="E76">
        <v>2</v>
      </c>
      <c r="F76">
        <v>2</v>
      </c>
      <c r="G76">
        <f>VLOOKUP(Table_Collate[[#This Row],[Practice ID]],EDM,4,FALSE)</f>
        <v>0</v>
      </c>
      <c r="H76">
        <f>_xlfn.IFNA(VLOOKUP(Table_Collate[[#This Row],[Current State]],Score,2,FALSE),0)</f>
        <v>0</v>
      </c>
      <c r="X76" t="s">
        <v>1837</v>
      </c>
      <c r="Y76" t="s">
        <v>273</v>
      </c>
      <c r="Z76" t="s">
        <v>1849</v>
      </c>
      <c r="AA76" t="s">
        <v>1850</v>
      </c>
      <c r="AB76" s="27">
        <v>1</v>
      </c>
      <c r="AC76">
        <v>1</v>
      </c>
      <c r="AD76">
        <f>IFERROR(VLOOKUP(Table_Collate_L_CAT[[#This Row],[ID]],L_CAT,5,FALSE),0)</f>
        <v>0</v>
      </c>
      <c r="AE76" cm="1">
        <f t="array" aca="1" ref="AE76" ca="1">IFERROR(_xlfn.XLOOKUP(Table_Collate_L_CAT[[#This Row],[Response]],INDIRECT(Table_Collate_L_CAT[[#This Row],[Response ID]],TRUE),INDIRECT(Table_Collate_L_CAT[[#This Row],[Answer ID]],TRUE)),0)</f>
        <v>0</v>
      </c>
      <c r="AF76">
        <f ca="1">Table_Collate_L_CAT[[#This Row],[Question Weight]]*Table_Collate_L_CAT[[#This Row],[Subsector Weight]]*Table_Collate_L_CAT[[#This Row],[Score]]</f>
        <v>0</v>
      </c>
      <c r="AH76" s="1" t="str">
        <f ca="1">_xlfn.LET(_xlpm.criticalityScore,(MAX(Table_Aggregate_L_CAT[Total Weighted Score])/100),IF(AND(_xlpm.criticalityScore&gt;0,_xlpm.criticalityScore&lt;=1/3),"Low",IF(AND(_xlpm.criticalityScore&gt;1/3,_xlpm.criticalityScore&lt;=2/3),"Moderate",IF(AND(_xlpm.criticalityScore&gt;2/3,_xlpm.criticalityScore&lt;=1),"High","N/A"))))</f>
        <v>N/A</v>
      </c>
    </row>
    <row r="77" spans="1:35">
      <c r="A77" t="s">
        <v>1070</v>
      </c>
      <c r="B77">
        <v>0</v>
      </c>
      <c r="C77" t="s">
        <v>1059</v>
      </c>
      <c r="D77" t="s">
        <v>1279</v>
      </c>
      <c r="E77">
        <v>2</v>
      </c>
      <c r="F77">
        <v>2</v>
      </c>
      <c r="G77">
        <f>VLOOKUP(Table_Collate[[#This Row],[Practice ID]],EDM,4,FALSE)</f>
        <v>0</v>
      </c>
      <c r="H77">
        <f>_xlfn.IFNA(VLOOKUP(Table_Collate[[#This Row],[Current State]],Score,2,FALSE),0)</f>
        <v>0</v>
      </c>
      <c r="X77" t="s">
        <v>1837</v>
      </c>
      <c r="Y77" t="s">
        <v>277</v>
      </c>
      <c r="Z77" t="s">
        <v>1851</v>
      </c>
      <c r="AA77" t="s">
        <v>1852</v>
      </c>
      <c r="AB77" s="27">
        <v>0.5</v>
      </c>
      <c r="AC77">
        <v>40</v>
      </c>
      <c r="AD77">
        <f>IFERROR(VLOOKUP(Table_Collate_L_CAT[[#This Row],[ID]],L_CAT,5,FALSE),0)</f>
        <v>0</v>
      </c>
      <c r="AE77" cm="1">
        <f t="array" aca="1" ref="AE77" ca="1">IFERROR(_xlfn.XLOOKUP(Table_Collate_L_CAT[[#This Row],[Response]],INDIRECT(Table_Collate_L_CAT[[#This Row],[Response ID]],TRUE),INDIRECT(Table_Collate_L_CAT[[#This Row],[Answer ID]],TRUE)),0)</f>
        <v>0</v>
      </c>
      <c r="AF77">
        <f ca="1">Table_Collate_L_CAT[[#This Row],[Question Weight]]*Table_Collate_L_CAT[[#This Row],[Subsector Weight]]*Table_Collate_L_CAT[[#This Row],[Score]]</f>
        <v>0</v>
      </c>
    </row>
    <row r="78" spans="1:35" ht="13.9" customHeight="1">
      <c r="A78" t="s">
        <v>1073</v>
      </c>
      <c r="B78">
        <v>0</v>
      </c>
      <c r="C78" t="s">
        <v>1059</v>
      </c>
      <c r="D78" t="s">
        <v>1279</v>
      </c>
      <c r="E78">
        <v>2</v>
      </c>
      <c r="F78">
        <v>2</v>
      </c>
      <c r="G78">
        <f>VLOOKUP(Table_Collate[[#This Row],[Practice ID]],EDM,4,FALSE)</f>
        <v>0</v>
      </c>
      <c r="H78">
        <f>_xlfn.IFNA(VLOOKUP(Table_Collate[[#This Row],[Current State]],Score,2,FALSE),0)</f>
        <v>0</v>
      </c>
      <c r="X78" t="s">
        <v>1837</v>
      </c>
      <c r="Y78" t="s">
        <v>281</v>
      </c>
      <c r="Z78" t="s">
        <v>1853</v>
      </c>
      <c r="AA78" t="s">
        <v>1854</v>
      </c>
      <c r="AB78" s="27">
        <v>0.25</v>
      </c>
      <c r="AC78">
        <v>40</v>
      </c>
      <c r="AD78">
        <f>IFERROR(VLOOKUP(Table_Collate_L_CAT[[#This Row],[ID]],L_CAT,5,FALSE),0)</f>
        <v>0</v>
      </c>
      <c r="AE78" cm="1">
        <f t="array" aca="1" ref="AE78" ca="1">IFERROR(_xlfn.XLOOKUP(Table_Collate_L_CAT[[#This Row],[Response]],INDIRECT(Table_Collate_L_CAT[[#This Row],[Response ID]],TRUE),INDIRECT(Table_Collate_L_CAT[[#This Row],[Answer ID]],TRUE)),0)</f>
        <v>0</v>
      </c>
      <c r="AF78">
        <f ca="1">Table_Collate_L_CAT[[#This Row],[Question Weight]]*Table_Collate_L_CAT[[#This Row],[Subsector Weight]]*Table_Collate_L_CAT[[#This Row],[Score]]</f>
        <v>0</v>
      </c>
    </row>
    <row r="79" spans="1:35">
      <c r="A79" t="s">
        <v>1076</v>
      </c>
      <c r="B79">
        <v>0</v>
      </c>
      <c r="C79" t="s">
        <v>1059</v>
      </c>
      <c r="D79" t="s">
        <v>1279</v>
      </c>
      <c r="E79">
        <v>2</v>
      </c>
      <c r="F79">
        <v>2</v>
      </c>
      <c r="G79">
        <f>VLOOKUP(Table_Collate[[#This Row],[Practice ID]],EDM,4,FALSE)</f>
        <v>0</v>
      </c>
      <c r="H79">
        <f>_xlfn.IFNA(VLOOKUP(Table_Collate[[#This Row],[Current State]],Score,2,FALSE),0)</f>
        <v>0</v>
      </c>
      <c r="X79" t="s">
        <v>1837</v>
      </c>
      <c r="Y79" t="s">
        <v>285</v>
      </c>
      <c r="Z79" t="s">
        <v>1855</v>
      </c>
      <c r="AA79" t="s">
        <v>1856</v>
      </c>
      <c r="AB79" s="27">
        <v>0.15</v>
      </c>
      <c r="AC79">
        <v>40</v>
      </c>
      <c r="AD79">
        <f>IFERROR(VLOOKUP(Table_Collate_L_CAT[[#This Row],[ID]],L_CAT,5,FALSE),0)</f>
        <v>0</v>
      </c>
      <c r="AE79" cm="1">
        <f t="array" aca="1" ref="AE79" ca="1">IFERROR(_xlfn.XLOOKUP(Table_Collate_L_CAT[[#This Row],[Response]],INDIRECT(Table_Collate_L_CAT[[#This Row],[Response ID]],TRUE),INDIRECT(Table_Collate_L_CAT[[#This Row],[Answer ID]],TRUE)),0)</f>
        <v>0</v>
      </c>
      <c r="AF79">
        <f ca="1">Table_Collate_L_CAT[[#This Row],[Question Weight]]*Table_Collate_L_CAT[[#This Row],[Subsector Weight]]*Table_Collate_L_CAT[[#This Row],[Score]]</f>
        <v>0</v>
      </c>
    </row>
    <row r="80" spans="1:35">
      <c r="A80" t="s">
        <v>1079</v>
      </c>
      <c r="B80">
        <v>0</v>
      </c>
      <c r="C80" t="s">
        <v>1059</v>
      </c>
      <c r="D80" t="s">
        <v>1279</v>
      </c>
      <c r="E80">
        <v>2</v>
      </c>
      <c r="F80">
        <v>2</v>
      </c>
      <c r="G80">
        <f>VLOOKUP(Table_Collate[[#This Row],[Practice ID]],EDM,4,FALSE)</f>
        <v>0</v>
      </c>
      <c r="H80">
        <f>_xlfn.IFNA(VLOOKUP(Table_Collate[[#This Row],[Current State]],Score,2,FALSE),0)</f>
        <v>0</v>
      </c>
      <c r="X80" t="s">
        <v>1837</v>
      </c>
      <c r="Y80" t="s">
        <v>289</v>
      </c>
      <c r="Z80" t="s">
        <v>1857</v>
      </c>
      <c r="AA80" t="s">
        <v>1858</v>
      </c>
      <c r="AB80" s="27">
        <v>0.1</v>
      </c>
      <c r="AC80">
        <v>40</v>
      </c>
      <c r="AD80">
        <f>IFERROR(VLOOKUP(Table_Collate_L_CAT[[#This Row],[ID]],L_CAT,5,FALSE),0)</f>
        <v>0</v>
      </c>
      <c r="AE80" cm="1">
        <f t="array" aca="1" ref="AE80" ca="1">IFERROR(_xlfn.XLOOKUP(Table_Collate_L_CAT[[#This Row],[Response]],INDIRECT(Table_Collate_L_CAT[[#This Row],[Response ID]],TRUE),INDIRECT(Table_Collate_L_CAT[[#This Row],[Answer ID]],TRUE)),0)</f>
        <v>0</v>
      </c>
      <c r="AF80">
        <f ca="1">Table_Collate_L_CAT[[#This Row],[Question Weight]]*Table_Collate_L_CAT[[#This Row],[Subsector Weight]]*Table_Collate_L_CAT[[#This Row],[Score]]</f>
        <v>0</v>
      </c>
    </row>
    <row r="81" spans="1:32">
      <c r="A81" t="s">
        <v>1082</v>
      </c>
      <c r="B81">
        <v>0</v>
      </c>
      <c r="C81" t="s">
        <v>1059</v>
      </c>
      <c r="D81" t="s">
        <v>1279</v>
      </c>
      <c r="E81">
        <v>2</v>
      </c>
      <c r="F81">
        <v>2</v>
      </c>
      <c r="G81">
        <f>VLOOKUP(Table_Collate[[#This Row],[Practice ID]],EDM,4,FALSE)</f>
        <v>0</v>
      </c>
      <c r="H81">
        <f>_xlfn.IFNA(VLOOKUP(Table_Collate[[#This Row],[Current State]],Score,2,FALSE),0)</f>
        <v>0</v>
      </c>
      <c r="X81" t="s">
        <v>1837</v>
      </c>
      <c r="Y81" t="s">
        <v>293</v>
      </c>
      <c r="Z81" t="s">
        <v>1859</v>
      </c>
      <c r="AA81" t="s">
        <v>1860</v>
      </c>
      <c r="AB81" s="27">
        <v>0</v>
      </c>
      <c r="AC81">
        <v>40</v>
      </c>
      <c r="AD81">
        <f>IFERROR(VLOOKUP(Table_Collate_L_CAT[[#This Row],[ID]],L_CAT,5,FALSE),0)</f>
        <v>0</v>
      </c>
      <c r="AE81" cm="1">
        <f t="array" aca="1" ref="AE81" ca="1">IFERROR(_xlfn.XLOOKUP(Table_Collate_L_CAT[[#This Row],[Response]],INDIRECT(Table_Collate_L_CAT[[#This Row],[Response ID]],TRUE),INDIRECT(Table_Collate_L_CAT[[#This Row],[Answer ID]],TRUE)),0)</f>
        <v>0</v>
      </c>
      <c r="AF81">
        <f ca="1">Table_Collate_L_CAT[[#This Row],[Question Weight]]*Table_Collate_L_CAT[[#This Row],[Subsector Weight]]*Table_Collate_L_CAT[[#This Row],[Score]]</f>
        <v>0</v>
      </c>
    </row>
    <row r="82" spans="1:32">
      <c r="A82" t="s">
        <v>1085</v>
      </c>
      <c r="B82">
        <v>0</v>
      </c>
      <c r="C82" t="s">
        <v>1059</v>
      </c>
      <c r="D82" t="s">
        <v>1279</v>
      </c>
      <c r="E82">
        <v>2</v>
      </c>
      <c r="F82">
        <v>2</v>
      </c>
      <c r="G82">
        <f>VLOOKUP(Table_Collate[[#This Row],[Practice ID]],EDM,4,FALSE)</f>
        <v>0</v>
      </c>
      <c r="H82">
        <f>_xlfn.IFNA(VLOOKUP(Table_Collate[[#This Row],[Current State]],Score,2,FALSE),0)</f>
        <v>0</v>
      </c>
      <c r="X82" t="s">
        <v>1840</v>
      </c>
      <c r="Y82" t="s">
        <v>296</v>
      </c>
      <c r="Z82" t="s">
        <v>1861</v>
      </c>
      <c r="AA82" t="s">
        <v>1862</v>
      </c>
      <c r="AB82" s="27">
        <v>1</v>
      </c>
      <c r="AC82">
        <v>1</v>
      </c>
      <c r="AD82">
        <f>IFERROR(VLOOKUP(Table_Collate_L_CAT[[#This Row],[ID]],L_CAT,5,FALSE),0)</f>
        <v>0</v>
      </c>
      <c r="AE82" cm="1">
        <f t="array" aca="1" ref="AE82" ca="1">IFERROR(_xlfn.XLOOKUP(Table_Collate_L_CAT[[#This Row],[Response]],INDIRECT(Table_Collate_L_CAT[[#This Row],[Response ID]],TRUE),INDIRECT(Table_Collate_L_CAT[[#This Row],[Answer ID]],TRUE)),0)</f>
        <v>0</v>
      </c>
      <c r="AF82">
        <f ca="1">Table_Collate_L_CAT[[#This Row],[Question Weight]]*Table_Collate_L_CAT[[#This Row],[Subsector Weight]]*Table_Collate_L_CAT[[#This Row],[Score]]</f>
        <v>0</v>
      </c>
    </row>
    <row r="83" spans="1:32">
      <c r="A83" t="s">
        <v>1088</v>
      </c>
      <c r="B83">
        <v>0</v>
      </c>
      <c r="C83" t="s">
        <v>1059</v>
      </c>
      <c r="D83" t="s">
        <v>1279</v>
      </c>
      <c r="E83">
        <v>3</v>
      </c>
      <c r="F83">
        <v>3</v>
      </c>
      <c r="G83">
        <f>VLOOKUP(Table_Collate[[#This Row],[Practice ID]],EDM,4,FALSE)</f>
        <v>0</v>
      </c>
      <c r="H83">
        <f>_xlfn.IFNA(VLOOKUP(Table_Collate[[#This Row],[Current State]],Score,2,FALSE),0)</f>
        <v>0</v>
      </c>
      <c r="X83" t="s">
        <v>1840</v>
      </c>
      <c r="Y83" t="s">
        <v>299</v>
      </c>
      <c r="Z83" t="s">
        <v>1863</v>
      </c>
      <c r="AA83" t="s">
        <v>1864</v>
      </c>
      <c r="AB83" s="27">
        <v>0.8</v>
      </c>
      <c r="AC83">
        <v>15</v>
      </c>
      <c r="AD83">
        <f>IFERROR(VLOOKUP(Table_Collate_L_CAT[[#This Row],[ID]],L_CAT,5,FALSE),0)</f>
        <v>0</v>
      </c>
      <c r="AE83" cm="1">
        <f t="array" aca="1" ref="AE83" ca="1">IFERROR(_xlfn.XLOOKUP(Table_Collate_L_CAT[[#This Row],[Response]],INDIRECT(Table_Collate_L_CAT[[#This Row],[Response ID]],TRUE),INDIRECT(Table_Collate_L_CAT[[#This Row],[Answer ID]],TRUE)),0)</f>
        <v>0</v>
      </c>
      <c r="AF83">
        <f ca="1">Table_Collate_L_CAT[[#This Row],[Question Weight]]*Table_Collate_L_CAT[[#This Row],[Subsector Weight]]*Table_Collate_L_CAT[[#This Row],[Score]]</f>
        <v>0</v>
      </c>
    </row>
    <row r="84" spans="1:32">
      <c r="A84" t="s">
        <v>1091</v>
      </c>
      <c r="B84">
        <v>0</v>
      </c>
      <c r="C84" t="s">
        <v>1059</v>
      </c>
      <c r="D84" t="s">
        <v>1279</v>
      </c>
      <c r="E84">
        <v>3</v>
      </c>
      <c r="F84">
        <v>3</v>
      </c>
      <c r="G84">
        <f>VLOOKUP(Table_Collate[[#This Row],[Practice ID]],EDM,4,FALSE)</f>
        <v>0</v>
      </c>
      <c r="H84">
        <f>_xlfn.IFNA(VLOOKUP(Table_Collate[[#This Row],[Current State]],Score,2,FALSE),0)</f>
        <v>0</v>
      </c>
      <c r="X84" t="s">
        <v>1840</v>
      </c>
      <c r="Y84" t="s">
        <v>303</v>
      </c>
      <c r="Z84" t="s">
        <v>1865</v>
      </c>
      <c r="AA84" t="s">
        <v>1866</v>
      </c>
      <c r="AB84" s="27">
        <v>0.2</v>
      </c>
      <c r="AC84">
        <v>15</v>
      </c>
      <c r="AD84">
        <f>IFERROR(VLOOKUP(Table_Collate_L_CAT[[#This Row],[ID]],L_CAT,5,FALSE),0)</f>
        <v>0</v>
      </c>
      <c r="AE84" cm="1">
        <f t="array" aca="1" ref="AE84" ca="1">IFERROR(_xlfn.XLOOKUP(Table_Collate_L_CAT[[#This Row],[Response]],INDIRECT(Table_Collate_L_CAT[[#This Row],[Response ID]],TRUE),INDIRECT(Table_Collate_L_CAT[[#This Row],[Answer ID]],TRUE)),0)</f>
        <v>0</v>
      </c>
      <c r="AF84">
        <f ca="1">Table_Collate_L_CAT[[#This Row],[Question Weight]]*Table_Collate_L_CAT[[#This Row],[Subsector Weight]]*Table_Collate_L_CAT[[#This Row],[Score]]</f>
        <v>0</v>
      </c>
    </row>
    <row r="85" spans="1:32">
      <c r="A85" t="s">
        <v>1094</v>
      </c>
      <c r="B85">
        <v>0</v>
      </c>
      <c r="C85" t="s">
        <v>1059</v>
      </c>
      <c r="D85" t="s">
        <v>1279</v>
      </c>
      <c r="E85">
        <v>3</v>
      </c>
      <c r="F85">
        <v>2</v>
      </c>
      <c r="G85">
        <f>VLOOKUP(Table_Collate[[#This Row],[Practice ID]],EDM,4,FALSE)</f>
        <v>0</v>
      </c>
      <c r="H85">
        <f>_xlfn.IFNA(VLOOKUP(Table_Collate[[#This Row],[Current State]],Score,2,FALSE),0)</f>
        <v>0</v>
      </c>
      <c r="X85" t="s">
        <v>1840</v>
      </c>
      <c r="Y85" t="s">
        <v>306</v>
      </c>
      <c r="Z85" t="s">
        <v>1867</v>
      </c>
      <c r="AA85" t="s">
        <v>1868</v>
      </c>
      <c r="AB85" s="27">
        <v>0</v>
      </c>
      <c r="AC85">
        <v>15</v>
      </c>
      <c r="AD85">
        <f>IFERROR(VLOOKUP(Table_Collate_L_CAT[[#This Row],[ID]],L_CAT,5,FALSE),0)</f>
        <v>0</v>
      </c>
      <c r="AE85" cm="1">
        <f t="array" aca="1" ref="AE85" ca="1">IFERROR(_xlfn.XLOOKUP(Table_Collate_L_CAT[[#This Row],[Response]],INDIRECT(Table_Collate_L_CAT[[#This Row],[Response ID]],TRUE),INDIRECT(Table_Collate_L_CAT[[#This Row],[Answer ID]],TRUE)),0)</f>
        <v>0</v>
      </c>
      <c r="AF85">
        <f ca="1">Table_Collate_L_CAT[[#This Row],[Question Weight]]*Table_Collate_L_CAT[[#This Row],[Subsector Weight]]*Table_Collate_L_CAT[[#This Row],[Score]]</f>
        <v>0</v>
      </c>
    </row>
    <row r="86" spans="1:32">
      <c r="A86" t="s">
        <v>1097</v>
      </c>
      <c r="B86">
        <v>0</v>
      </c>
      <c r="C86" t="s">
        <v>1059</v>
      </c>
      <c r="D86" t="s">
        <v>1279</v>
      </c>
      <c r="E86">
        <v>3</v>
      </c>
      <c r="F86">
        <v>2</v>
      </c>
      <c r="G86">
        <f>VLOOKUP(Table_Collate[[#This Row],[Practice ID]],EDM,4,FALSE)</f>
        <v>0</v>
      </c>
      <c r="H86">
        <f>_xlfn.IFNA(VLOOKUP(Table_Collate[[#This Row],[Current State]],Score,2,FALSE),0)</f>
        <v>0</v>
      </c>
      <c r="X86" t="s">
        <v>1843</v>
      </c>
      <c r="Y86" t="s">
        <v>309</v>
      </c>
      <c r="Z86" t="s">
        <v>1869</v>
      </c>
      <c r="AA86" t="s">
        <v>1870</v>
      </c>
      <c r="AB86" s="27">
        <v>1</v>
      </c>
      <c r="AC86">
        <v>1</v>
      </c>
      <c r="AD86">
        <f>IFERROR(VLOOKUP(Table_Collate_L_CAT[[#This Row],[ID]],L_CAT,5,FALSE),0)</f>
        <v>0</v>
      </c>
      <c r="AE86" cm="1">
        <f t="array" aca="1" ref="AE86" ca="1">IFERROR(_xlfn.XLOOKUP(Table_Collate_L_CAT[[#This Row],[Response]],INDIRECT(Table_Collate_L_CAT[[#This Row],[Response ID]],TRUE),INDIRECT(Table_Collate_L_CAT[[#This Row],[Answer ID]],TRUE)),0)</f>
        <v>0</v>
      </c>
      <c r="AF86">
        <f ca="1">Table_Collate_L_CAT[[#This Row],[Question Weight]]*Table_Collate_L_CAT[[#This Row],[Subsector Weight]]*Table_Collate_L_CAT[[#This Row],[Score]]</f>
        <v>0</v>
      </c>
    </row>
    <row r="87" spans="1:32">
      <c r="A87" t="s">
        <v>1100</v>
      </c>
      <c r="B87">
        <v>0</v>
      </c>
      <c r="C87" t="s">
        <v>1059</v>
      </c>
      <c r="D87" t="s">
        <v>1279</v>
      </c>
      <c r="E87">
        <v>3</v>
      </c>
      <c r="F87">
        <v>3</v>
      </c>
      <c r="G87">
        <f>VLOOKUP(Table_Collate[[#This Row],[Practice ID]],EDM,4,FALSE)</f>
        <v>0</v>
      </c>
      <c r="H87">
        <f>_xlfn.IFNA(VLOOKUP(Table_Collate[[#This Row],[Current State]],Score,2,FALSE),0)</f>
        <v>0</v>
      </c>
      <c r="X87" t="s">
        <v>1843</v>
      </c>
      <c r="Y87" t="s">
        <v>312</v>
      </c>
      <c r="Z87" t="s">
        <v>1871</v>
      </c>
      <c r="AA87" t="s">
        <v>1872</v>
      </c>
      <c r="AB87" s="27">
        <v>0.6</v>
      </c>
      <c r="AC87">
        <v>50</v>
      </c>
      <c r="AD87">
        <f>IFERROR(VLOOKUP(Table_Collate_L_CAT[[#This Row],[ID]],L_CAT,5,FALSE),0)</f>
        <v>0</v>
      </c>
      <c r="AE87" cm="1">
        <f t="array" aca="1" ref="AE87" ca="1">IFERROR(_xlfn.XLOOKUP(Table_Collate_L_CAT[[#This Row],[Response]],INDIRECT(Table_Collate_L_CAT[[#This Row],[Response ID]],TRUE),INDIRECT(Table_Collate_L_CAT[[#This Row],[Answer ID]],TRUE)),0)</f>
        <v>0</v>
      </c>
      <c r="AF87">
        <f ca="1">Table_Collate_L_CAT[[#This Row],[Question Weight]]*Table_Collate_L_CAT[[#This Row],[Subsector Weight]]*Table_Collate_L_CAT[[#This Row],[Score]]</f>
        <v>0</v>
      </c>
    </row>
    <row r="88" spans="1:32">
      <c r="A88" t="s">
        <v>571</v>
      </c>
      <c r="B88">
        <v>0</v>
      </c>
      <c r="C88" t="s">
        <v>569</v>
      </c>
      <c r="D88" t="s">
        <v>1274</v>
      </c>
      <c r="E88">
        <v>1</v>
      </c>
      <c r="F88">
        <v>1</v>
      </c>
      <c r="G88">
        <f>VLOOKUP(Table_Collate[[#This Row],[Practice ID]],IAM,4,FALSE)</f>
        <v>0</v>
      </c>
      <c r="H88">
        <f>_xlfn.IFNA(VLOOKUP(Table_Collate[[#This Row],[Current State]],Score,2,FALSE),0)</f>
        <v>0</v>
      </c>
      <c r="X88" t="s">
        <v>1843</v>
      </c>
      <c r="Y88" t="s">
        <v>317</v>
      </c>
      <c r="Z88" t="s">
        <v>1873</v>
      </c>
      <c r="AA88" t="s">
        <v>1874</v>
      </c>
      <c r="AB88" s="27">
        <v>0.2</v>
      </c>
      <c r="AC88">
        <v>50</v>
      </c>
      <c r="AD88">
        <f>IFERROR(VLOOKUP(Table_Collate_L_CAT[[#This Row],[ID]],L_CAT,5,FALSE),0)</f>
        <v>0</v>
      </c>
      <c r="AE88" cm="1">
        <f t="array" aca="1" ref="AE88" ca="1">IFERROR(_xlfn.XLOOKUP(Table_Collate_L_CAT[[#This Row],[Response]],INDIRECT(Table_Collate_L_CAT[[#This Row],[Response ID]],TRUE),INDIRECT(Table_Collate_L_CAT[[#This Row],[Answer ID]],TRUE)),0)</f>
        <v>0</v>
      </c>
      <c r="AF88">
        <f ca="1">Table_Collate_L_CAT[[#This Row],[Question Weight]]*Table_Collate_L_CAT[[#This Row],[Subsector Weight]]*Table_Collate_L_CAT[[#This Row],[Score]]</f>
        <v>0</v>
      </c>
    </row>
    <row r="89" spans="1:32">
      <c r="A89" t="s">
        <v>574</v>
      </c>
      <c r="B89">
        <v>0</v>
      </c>
      <c r="C89" t="s">
        <v>569</v>
      </c>
      <c r="D89" t="s">
        <v>1274</v>
      </c>
      <c r="E89">
        <v>1</v>
      </c>
      <c r="F89">
        <v>1</v>
      </c>
      <c r="G89">
        <f>VLOOKUP(Table_Collate[[#This Row],[Practice ID]],IAM,4,FALSE)</f>
        <v>0</v>
      </c>
      <c r="H89">
        <f>_xlfn.IFNA(VLOOKUP(Table_Collate[[#This Row],[Current State]],Score,2,FALSE),0)</f>
        <v>0</v>
      </c>
      <c r="X89" t="s">
        <v>1843</v>
      </c>
      <c r="Y89" t="s">
        <v>320</v>
      </c>
      <c r="Z89" t="s">
        <v>1875</v>
      </c>
      <c r="AA89" t="s">
        <v>1876</v>
      </c>
      <c r="AB89" s="27">
        <v>0.06</v>
      </c>
      <c r="AC89">
        <v>50</v>
      </c>
      <c r="AD89">
        <f>IFERROR(VLOOKUP(Table_Collate_L_CAT[[#This Row],[ID]],L_CAT,5,FALSE),0)</f>
        <v>0</v>
      </c>
      <c r="AE89" cm="1">
        <f t="array" aca="1" ref="AE89" ca="1">IFERROR(_xlfn.XLOOKUP(Table_Collate_L_CAT[[#This Row],[Response]],INDIRECT(Table_Collate_L_CAT[[#This Row],[Response ID]],TRUE),INDIRECT(Table_Collate_L_CAT[[#This Row],[Answer ID]],TRUE)),0)</f>
        <v>0</v>
      </c>
      <c r="AF89">
        <f ca="1">Table_Collate_L_CAT[[#This Row],[Question Weight]]*Table_Collate_L_CAT[[#This Row],[Subsector Weight]]*Table_Collate_L_CAT[[#This Row],[Score]]</f>
        <v>0</v>
      </c>
    </row>
    <row r="90" spans="1:32">
      <c r="A90" t="s">
        <v>577</v>
      </c>
      <c r="B90">
        <v>0</v>
      </c>
      <c r="C90" t="s">
        <v>569</v>
      </c>
      <c r="D90" t="s">
        <v>1274</v>
      </c>
      <c r="E90">
        <v>1</v>
      </c>
      <c r="F90">
        <v>1</v>
      </c>
      <c r="G90">
        <f>VLOOKUP(Table_Collate[[#This Row],[Practice ID]],IAM,4,FALSE)</f>
        <v>0</v>
      </c>
      <c r="H90">
        <f>_xlfn.IFNA(VLOOKUP(Table_Collate[[#This Row],[Current State]],Score,2,FALSE),0)</f>
        <v>0</v>
      </c>
      <c r="X90" t="s">
        <v>1843</v>
      </c>
      <c r="Y90" t="s">
        <v>323</v>
      </c>
      <c r="Z90" t="s">
        <v>1877</v>
      </c>
      <c r="AA90" t="s">
        <v>1878</v>
      </c>
      <c r="AB90" s="27">
        <v>0.06</v>
      </c>
      <c r="AC90">
        <v>50</v>
      </c>
      <c r="AD90">
        <f>IFERROR(VLOOKUP(Table_Collate_L_CAT[[#This Row],[ID]],L_CAT,5,FALSE),0)</f>
        <v>0</v>
      </c>
      <c r="AE90" cm="1">
        <f t="array" aca="1" ref="AE90" ca="1">IFERROR(_xlfn.XLOOKUP(Table_Collate_L_CAT[[#This Row],[Response]],INDIRECT(Table_Collate_L_CAT[[#This Row],[Response ID]],TRUE),INDIRECT(Table_Collate_L_CAT[[#This Row],[Answer ID]],TRUE)),0)</f>
        <v>0</v>
      </c>
      <c r="AF90">
        <f ca="1">Table_Collate_L_CAT[[#This Row],[Question Weight]]*Table_Collate_L_CAT[[#This Row],[Subsector Weight]]*Table_Collate_L_CAT[[#This Row],[Score]]</f>
        <v>0</v>
      </c>
    </row>
    <row r="91" spans="1:32">
      <c r="A91" t="s">
        <v>580</v>
      </c>
      <c r="B91">
        <v>0</v>
      </c>
      <c r="C91" t="s">
        <v>569</v>
      </c>
      <c r="D91" t="s">
        <v>1274</v>
      </c>
      <c r="E91">
        <v>2</v>
      </c>
      <c r="F91">
        <v>2</v>
      </c>
      <c r="G91">
        <f>VLOOKUP(Table_Collate[[#This Row],[Practice ID]],IAM,4,FALSE)</f>
        <v>0</v>
      </c>
      <c r="H91">
        <f>_xlfn.IFNA(VLOOKUP(Table_Collate[[#This Row],[Current State]],Score,2,FALSE),0)</f>
        <v>0</v>
      </c>
      <c r="X91" t="s">
        <v>1843</v>
      </c>
      <c r="Y91" t="s">
        <v>326</v>
      </c>
      <c r="Z91" t="s">
        <v>1879</v>
      </c>
      <c r="AA91" t="s">
        <v>1880</v>
      </c>
      <c r="AB91" s="27">
        <v>0.04</v>
      </c>
      <c r="AC91">
        <v>50</v>
      </c>
      <c r="AD91">
        <f>IFERROR(VLOOKUP(Table_Collate_L_CAT[[#This Row],[ID]],L_CAT,5,FALSE),0)</f>
        <v>0</v>
      </c>
      <c r="AE91" cm="1">
        <f t="array" aca="1" ref="AE91" ca="1">IFERROR(_xlfn.XLOOKUP(Table_Collate_L_CAT[[#This Row],[Response]],INDIRECT(Table_Collate_L_CAT[[#This Row],[Response ID]],TRUE),INDIRECT(Table_Collate_L_CAT[[#This Row],[Answer ID]],TRUE)),0)</f>
        <v>0</v>
      </c>
      <c r="AF91">
        <f ca="1">Table_Collate_L_CAT[[#This Row],[Question Weight]]*Table_Collate_L_CAT[[#This Row],[Subsector Weight]]*Table_Collate_L_CAT[[#This Row],[Score]]</f>
        <v>0</v>
      </c>
    </row>
    <row r="92" spans="1:32">
      <c r="A92" t="s">
        <v>583</v>
      </c>
      <c r="B92">
        <v>0</v>
      </c>
      <c r="C92" t="s">
        <v>569</v>
      </c>
      <c r="D92" t="s">
        <v>1274</v>
      </c>
      <c r="E92">
        <v>2</v>
      </c>
      <c r="F92">
        <v>2</v>
      </c>
      <c r="G92">
        <f>VLOOKUP(Table_Collate[[#This Row],[Practice ID]],IAM,4,FALSE)</f>
        <v>0</v>
      </c>
      <c r="H92">
        <f>_xlfn.IFNA(VLOOKUP(Table_Collate[[#This Row],[Current State]],Score,2,FALSE),0)</f>
        <v>0</v>
      </c>
      <c r="X92" t="s">
        <v>1843</v>
      </c>
      <c r="Y92" t="s">
        <v>328</v>
      </c>
      <c r="Z92" t="s">
        <v>1881</v>
      </c>
      <c r="AA92" t="s">
        <v>1882</v>
      </c>
      <c r="AB92" s="27">
        <v>0.02</v>
      </c>
      <c r="AC92">
        <v>50</v>
      </c>
      <c r="AD92">
        <f>IFERROR(VLOOKUP(Table_Collate_L_CAT[[#This Row],[ID]],L_CAT,5,FALSE),0)</f>
        <v>0</v>
      </c>
      <c r="AE92" cm="1">
        <f t="array" aca="1" ref="AE92" ca="1">IFERROR(_xlfn.XLOOKUP(Table_Collate_L_CAT[[#This Row],[Response]],INDIRECT(Table_Collate_L_CAT[[#This Row],[Response ID]],TRUE),INDIRECT(Table_Collate_L_CAT[[#This Row],[Answer ID]],TRUE)),0)</f>
        <v>0</v>
      </c>
      <c r="AF92">
        <f ca="1">Table_Collate_L_CAT[[#This Row],[Question Weight]]*Table_Collate_L_CAT[[#This Row],[Subsector Weight]]*Table_Collate_L_CAT[[#This Row],[Score]]</f>
        <v>0</v>
      </c>
    </row>
    <row r="93" spans="1:32">
      <c r="A93" t="s">
        <v>586</v>
      </c>
      <c r="B93">
        <v>0</v>
      </c>
      <c r="C93" t="s">
        <v>569</v>
      </c>
      <c r="D93" t="s">
        <v>1274</v>
      </c>
      <c r="E93">
        <v>2</v>
      </c>
      <c r="F93">
        <v>1</v>
      </c>
      <c r="G93">
        <f>VLOOKUP(Table_Collate[[#This Row],[Practice ID]],IAM,4,FALSE)</f>
        <v>0</v>
      </c>
      <c r="H93">
        <f>_xlfn.IFNA(VLOOKUP(Table_Collate[[#This Row],[Current State]],Score,2,FALSE),0)</f>
        <v>0</v>
      </c>
      <c r="X93" t="s">
        <v>1843</v>
      </c>
      <c r="Y93" t="s">
        <v>330</v>
      </c>
      <c r="Z93" t="s">
        <v>1883</v>
      </c>
      <c r="AA93" t="s">
        <v>1884</v>
      </c>
      <c r="AB93" s="27">
        <v>0.02</v>
      </c>
      <c r="AC93">
        <v>50</v>
      </c>
      <c r="AD93">
        <f>IFERROR(VLOOKUP(Table_Collate_L_CAT[[#This Row],[ID]],L_CAT,5,FALSE),0)</f>
        <v>0</v>
      </c>
      <c r="AE93" cm="1">
        <f t="array" aca="1" ref="AE93" ca="1">IFERROR(_xlfn.XLOOKUP(Table_Collate_L_CAT[[#This Row],[Response]],INDIRECT(Table_Collate_L_CAT[[#This Row],[Response ID]],TRUE),INDIRECT(Table_Collate_L_CAT[[#This Row],[Answer ID]],TRUE)),0)</f>
        <v>0</v>
      </c>
      <c r="AF93">
        <f ca="1">Table_Collate_L_CAT[[#This Row],[Question Weight]]*Table_Collate_L_CAT[[#This Row],[Subsector Weight]]*Table_Collate_L_CAT[[#This Row],[Score]]</f>
        <v>0</v>
      </c>
    </row>
    <row r="94" spans="1:32">
      <c r="A94" t="s">
        <v>589</v>
      </c>
      <c r="B94">
        <v>0</v>
      </c>
      <c r="C94" t="s">
        <v>569</v>
      </c>
      <c r="D94" t="s">
        <v>1274</v>
      </c>
      <c r="E94">
        <v>3</v>
      </c>
      <c r="F94">
        <v>1</v>
      </c>
      <c r="G94">
        <f>VLOOKUP(Table_Collate[[#This Row],[Practice ID]],IAM,4,FALSE)</f>
        <v>0</v>
      </c>
      <c r="H94">
        <f>_xlfn.IFNA(VLOOKUP(Table_Collate[[#This Row],[Current State]],Score,2,FALSE),0)</f>
        <v>0</v>
      </c>
      <c r="X94" t="s">
        <v>1843</v>
      </c>
      <c r="Y94" t="s">
        <v>334</v>
      </c>
      <c r="Z94" t="s">
        <v>1885</v>
      </c>
      <c r="AA94" t="s">
        <v>1886</v>
      </c>
      <c r="AB94" s="27">
        <v>0</v>
      </c>
      <c r="AC94">
        <v>50</v>
      </c>
      <c r="AD94">
        <f>IFERROR(VLOOKUP(Table_Collate_L_CAT[[#This Row],[ID]],L_CAT,5,FALSE),0)</f>
        <v>0</v>
      </c>
      <c r="AE94" cm="1">
        <f t="array" aca="1" ref="AE94" ca="1">IFERROR(_xlfn.XLOOKUP(Table_Collate_L_CAT[[#This Row],[Response]],INDIRECT(Table_Collate_L_CAT[[#This Row],[Response ID]],TRUE),INDIRECT(Table_Collate_L_CAT[[#This Row],[Answer ID]],TRUE)),0)</f>
        <v>0</v>
      </c>
      <c r="AF94">
        <f ca="1">Table_Collate_L_CAT[[#This Row],[Question Weight]]*Table_Collate_L_CAT[[#This Row],[Subsector Weight]]*Table_Collate_L_CAT[[#This Row],[Score]]</f>
        <v>0</v>
      </c>
    </row>
    <row r="95" spans="1:32">
      <c r="A95" t="s">
        <v>594</v>
      </c>
      <c r="B95">
        <v>0</v>
      </c>
      <c r="C95" t="s">
        <v>592</v>
      </c>
      <c r="D95" t="s">
        <v>1274</v>
      </c>
      <c r="E95">
        <v>1</v>
      </c>
      <c r="F95">
        <v>1</v>
      </c>
      <c r="G95">
        <f>VLOOKUP(Table_Collate[[#This Row],[Practice ID]],IAM,4,FALSE)</f>
        <v>0</v>
      </c>
      <c r="H95">
        <f>_xlfn.IFNA(VLOOKUP(Table_Collate[[#This Row],[Current State]],Score,2,FALSE),0)</f>
        <v>0</v>
      </c>
      <c r="AB95" s="27"/>
    </row>
    <row r="96" spans="1:32">
      <c r="A96" t="s">
        <v>597</v>
      </c>
      <c r="B96">
        <v>0</v>
      </c>
      <c r="C96" t="s">
        <v>592</v>
      </c>
      <c r="D96" t="s">
        <v>1274</v>
      </c>
      <c r="E96">
        <v>1</v>
      </c>
      <c r="F96">
        <v>1</v>
      </c>
      <c r="G96">
        <f>VLOOKUP(Table_Collate[[#This Row],[Practice ID]],IAM,4,FALSE)</f>
        <v>0</v>
      </c>
      <c r="H96">
        <f>_xlfn.IFNA(VLOOKUP(Table_Collate[[#This Row],[Current State]],Score,2,FALSE),0)</f>
        <v>0</v>
      </c>
      <c r="AB96" s="27"/>
    </row>
    <row r="97" spans="1:28">
      <c r="A97" t="s">
        <v>600</v>
      </c>
      <c r="B97">
        <v>0</v>
      </c>
      <c r="C97" t="s">
        <v>592</v>
      </c>
      <c r="D97" t="s">
        <v>1274</v>
      </c>
      <c r="E97">
        <v>1</v>
      </c>
      <c r="F97">
        <v>1</v>
      </c>
      <c r="G97">
        <f>VLOOKUP(Table_Collate[[#This Row],[Practice ID]],IAM,4,FALSE)</f>
        <v>0</v>
      </c>
      <c r="H97">
        <f>_xlfn.IFNA(VLOOKUP(Table_Collate[[#This Row],[Current State]],Score,2,FALSE),0)</f>
        <v>0</v>
      </c>
      <c r="AB97" s="27"/>
    </row>
    <row r="98" spans="1:28">
      <c r="A98" t="s">
        <v>603</v>
      </c>
      <c r="B98">
        <v>0</v>
      </c>
      <c r="C98" t="s">
        <v>592</v>
      </c>
      <c r="D98" t="s">
        <v>1274</v>
      </c>
      <c r="E98">
        <v>2</v>
      </c>
      <c r="F98">
        <v>2</v>
      </c>
      <c r="G98">
        <f>VLOOKUP(Table_Collate[[#This Row],[Practice ID]],IAM,4,FALSE)</f>
        <v>0</v>
      </c>
      <c r="H98">
        <f>_xlfn.IFNA(VLOOKUP(Table_Collate[[#This Row],[Current State]],Score,2,FALSE),0)</f>
        <v>0</v>
      </c>
      <c r="AB98" s="27"/>
    </row>
    <row r="99" spans="1:28">
      <c r="A99" t="s">
        <v>606</v>
      </c>
      <c r="B99">
        <v>0</v>
      </c>
      <c r="C99" t="s">
        <v>592</v>
      </c>
      <c r="D99" t="s">
        <v>1274</v>
      </c>
      <c r="E99">
        <v>2</v>
      </c>
      <c r="F99">
        <v>2</v>
      </c>
      <c r="G99">
        <f>VLOOKUP(Table_Collate[[#This Row],[Practice ID]],IAM,4,FALSE)</f>
        <v>0</v>
      </c>
      <c r="H99">
        <f>_xlfn.IFNA(VLOOKUP(Table_Collate[[#This Row],[Current State]],Score,2,FALSE),0)</f>
        <v>0</v>
      </c>
    </row>
    <row r="100" spans="1:28">
      <c r="A100" t="s">
        <v>609</v>
      </c>
      <c r="B100">
        <v>0</v>
      </c>
      <c r="C100" t="s">
        <v>592</v>
      </c>
      <c r="D100" t="s">
        <v>1274</v>
      </c>
      <c r="E100">
        <v>2</v>
      </c>
      <c r="F100">
        <v>1</v>
      </c>
      <c r="G100">
        <f>VLOOKUP(Table_Collate[[#This Row],[Practice ID]],IAM,4,FALSE)</f>
        <v>0</v>
      </c>
      <c r="H100">
        <f>_xlfn.IFNA(VLOOKUP(Table_Collate[[#This Row],[Current State]],Score,2,FALSE),0)</f>
        <v>0</v>
      </c>
    </row>
    <row r="101" spans="1:28">
      <c r="A101" t="s">
        <v>612</v>
      </c>
      <c r="B101">
        <v>0</v>
      </c>
      <c r="C101" t="s">
        <v>592</v>
      </c>
      <c r="D101" t="s">
        <v>1274</v>
      </c>
      <c r="E101">
        <v>3</v>
      </c>
      <c r="F101">
        <v>2</v>
      </c>
      <c r="G101">
        <f>VLOOKUP(Table_Collate[[#This Row],[Practice ID]],IAM,4,FALSE)</f>
        <v>0</v>
      </c>
      <c r="H101">
        <f>_xlfn.IFNA(VLOOKUP(Table_Collate[[#This Row],[Current State]],Score,2,FALSE),0)</f>
        <v>0</v>
      </c>
    </row>
    <row r="102" spans="1:28">
      <c r="A102" t="s">
        <v>615</v>
      </c>
      <c r="B102">
        <v>0</v>
      </c>
      <c r="C102" t="s">
        <v>592</v>
      </c>
      <c r="D102" t="s">
        <v>1274</v>
      </c>
      <c r="E102">
        <v>3</v>
      </c>
      <c r="F102">
        <v>3</v>
      </c>
      <c r="G102">
        <f>VLOOKUP(Table_Collate[[#This Row],[Practice ID]],IAM,4,FALSE)</f>
        <v>0</v>
      </c>
      <c r="H102">
        <f>_xlfn.IFNA(VLOOKUP(Table_Collate[[#This Row],[Current State]],Score,2,FALSE),0)</f>
        <v>0</v>
      </c>
    </row>
    <row r="103" spans="1:28">
      <c r="A103" t="s">
        <v>618</v>
      </c>
      <c r="B103">
        <v>0</v>
      </c>
      <c r="C103" t="s">
        <v>592</v>
      </c>
      <c r="D103" t="s">
        <v>1274</v>
      </c>
      <c r="E103">
        <v>3</v>
      </c>
      <c r="F103">
        <v>2</v>
      </c>
      <c r="G103">
        <f>VLOOKUP(Table_Collate[[#This Row],[Practice ID]],IAM,4,FALSE)</f>
        <v>0</v>
      </c>
      <c r="H103">
        <f>_xlfn.IFNA(VLOOKUP(Table_Collate[[#This Row],[Current State]],Score,2,FALSE),0)</f>
        <v>0</v>
      </c>
    </row>
    <row r="104" spans="1:28">
      <c r="A104" t="s">
        <v>623</v>
      </c>
      <c r="B104">
        <v>1</v>
      </c>
      <c r="C104" t="s">
        <v>621</v>
      </c>
      <c r="D104" t="s">
        <v>1274</v>
      </c>
      <c r="E104">
        <v>1</v>
      </c>
      <c r="F104">
        <v>1</v>
      </c>
      <c r="G104">
        <f>VLOOKUP(Table_Collate[[#This Row],[Practice ID]],IAM,4,FALSE)</f>
        <v>0</v>
      </c>
      <c r="H104">
        <f>_xlfn.IFNA(VLOOKUP(Table_Collate[[#This Row],[Current State]],Score,2,FALSE),0)</f>
        <v>0</v>
      </c>
    </row>
    <row r="105" spans="1:28">
      <c r="A105" t="s">
        <v>626</v>
      </c>
      <c r="B105">
        <v>1</v>
      </c>
      <c r="C105" t="s">
        <v>621</v>
      </c>
      <c r="D105" t="s">
        <v>1274</v>
      </c>
      <c r="E105">
        <v>2</v>
      </c>
      <c r="F105">
        <v>2</v>
      </c>
      <c r="G105">
        <f>VLOOKUP(Table_Collate[[#This Row],[Practice ID]],IAM,4,FALSE)</f>
        <v>0</v>
      </c>
      <c r="H105">
        <f>_xlfn.IFNA(VLOOKUP(Table_Collate[[#This Row],[Current State]],Score,2,FALSE),0)</f>
        <v>0</v>
      </c>
    </row>
    <row r="106" spans="1:28">
      <c r="A106" t="s">
        <v>629</v>
      </c>
      <c r="B106">
        <v>1</v>
      </c>
      <c r="C106" t="s">
        <v>621</v>
      </c>
      <c r="D106" t="s">
        <v>1274</v>
      </c>
      <c r="E106">
        <v>2</v>
      </c>
      <c r="F106">
        <v>2</v>
      </c>
      <c r="G106">
        <f>VLOOKUP(Table_Collate[[#This Row],[Practice ID]],IAM,4,FALSE)</f>
        <v>0</v>
      </c>
      <c r="H106">
        <f>_xlfn.IFNA(VLOOKUP(Table_Collate[[#This Row],[Current State]],Score,2,FALSE),0)</f>
        <v>0</v>
      </c>
    </row>
    <row r="107" spans="1:28">
      <c r="A107" t="s">
        <v>632</v>
      </c>
      <c r="B107">
        <v>1</v>
      </c>
      <c r="C107" t="s">
        <v>621</v>
      </c>
      <c r="D107" t="s">
        <v>1274</v>
      </c>
      <c r="E107">
        <v>2</v>
      </c>
      <c r="F107">
        <v>1</v>
      </c>
      <c r="G107">
        <f>VLOOKUP(Table_Collate[[#This Row],[Practice ID]],IAM,4,FALSE)</f>
        <v>0</v>
      </c>
      <c r="H107">
        <f>_xlfn.IFNA(VLOOKUP(Table_Collate[[#This Row],[Current State]],Score,2,FALSE),0)</f>
        <v>0</v>
      </c>
    </row>
    <row r="108" spans="1:28">
      <c r="A108" t="s">
        <v>635</v>
      </c>
      <c r="B108">
        <v>1</v>
      </c>
      <c r="C108" t="s">
        <v>621</v>
      </c>
      <c r="D108" t="s">
        <v>1274</v>
      </c>
      <c r="E108">
        <v>2</v>
      </c>
      <c r="F108">
        <v>1</v>
      </c>
      <c r="G108">
        <f>VLOOKUP(Table_Collate[[#This Row],[Practice ID]],IAM,4,FALSE)</f>
        <v>0</v>
      </c>
      <c r="H108">
        <f>_xlfn.IFNA(VLOOKUP(Table_Collate[[#This Row],[Current State]],Score,2,FALSE),0)</f>
        <v>0</v>
      </c>
    </row>
    <row r="109" spans="1:28">
      <c r="A109" t="s">
        <v>638</v>
      </c>
      <c r="B109">
        <v>1</v>
      </c>
      <c r="C109" t="s">
        <v>621</v>
      </c>
      <c r="D109" t="s">
        <v>1274</v>
      </c>
      <c r="E109">
        <v>2</v>
      </c>
      <c r="F109">
        <v>2</v>
      </c>
      <c r="G109">
        <f>VLOOKUP(Table_Collate[[#This Row],[Practice ID]],IAM,4,FALSE)</f>
        <v>0</v>
      </c>
      <c r="H109">
        <f>_xlfn.IFNA(VLOOKUP(Table_Collate[[#This Row],[Current State]],Score,2,FALSE),0)</f>
        <v>0</v>
      </c>
    </row>
    <row r="110" spans="1:28">
      <c r="A110" t="s">
        <v>641</v>
      </c>
      <c r="B110">
        <v>1</v>
      </c>
      <c r="C110" t="s">
        <v>621</v>
      </c>
      <c r="D110" t="s">
        <v>1274</v>
      </c>
      <c r="E110">
        <v>2</v>
      </c>
      <c r="F110">
        <v>2</v>
      </c>
      <c r="G110">
        <f>VLOOKUP(Table_Collate[[#This Row],[Practice ID]],IAM,4,FALSE)</f>
        <v>0</v>
      </c>
      <c r="H110">
        <f>_xlfn.IFNA(VLOOKUP(Table_Collate[[#This Row],[Current State]],Score,2,FALSE),0)</f>
        <v>0</v>
      </c>
    </row>
    <row r="111" spans="1:28">
      <c r="A111" t="s">
        <v>644</v>
      </c>
      <c r="B111">
        <v>1</v>
      </c>
      <c r="C111" t="s">
        <v>621</v>
      </c>
      <c r="D111" t="s">
        <v>1274</v>
      </c>
      <c r="E111">
        <v>3</v>
      </c>
      <c r="F111">
        <v>2</v>
      </c>
      <c r="G111">
        <f>VLOOKUP(Table_Collate[[#This Row],[Practice ID]],IAM,4,FALSE)</f>
        <v>0</v>
      </c>
      <c r="H111">
        <f>_xlfn.IFNA(VLOOKUP(Table_Collate[[#This Row],[Current State]],Score,2,FALSE),0)</f>
        <v>0</v>
      </c>
    </row>
    <row r="112" spans="1:28">
      <c r="A112" t="s">
        <v>647</v>
      </c>
      <c r="B112">
        <v>1</v>
      </c>
      <c r="C112" t="s">
        <v>621</v>
      </c>
      <c r="D112" t="s">
        <v>1274</v>
      </c>
      <c r="E112">
        <v>3</v>
      </c>
      <c r="F112">
        <v>1</v>
      </c>
      <c r="G112">
        <f>VLOOKUP(Table_Collate[[#This Row],[Practice ID]],IAM,4,FALSE)</f>
        <v>0</v>
      </c>
      <c r="H112">
        <f>_xlfn.IFNA(VLOOKUP(Table_Collate[[#This Row],[Current State]],Score,2,FALSE),0)</f>
        <v>0</v>
      </c>
    </row>
    <row r="113" spans="1:8">
      <c r="A113" t="s">
        <v>650</v>
      </c>
      <c r="B113">
        <v>1</v>
      </c>
      <c r="C113" t="s">
        <v>621</v>
      </c>
      <c r="D113" t="s">
        <v>1274</v>
      </c>
      <c r="E113">
        <v>3</v>
      </c>
      <c r="F113">
        <v>3</v>
      </c>
      <c r="G113">
        <f>VLOOKUP(Table_Collate[[#This Row],[Practice ID]],IAM,4,FALSE)</f>
        <v>0</v>
      </c>
      <c r="H113">
        <f>_xlfn.IFNA(VLOOKUP(Table_Collate[[#This Row],[Current State]],Score,2,FALSE),0)</f>
        <v>0</v>
      </c>
    </row>
    <row r="114" spans="1:8">
      <c r="A114" t="s">
        <v>653</v>
      </c>
      <c r="B114">
        <v>1</v>
      </c>
      <c r="C114" t="s">
        <v>621</v>
      </c>
      <c r="D114" t="s">
        <v>1274</v>
      </c>
      <c r="E114">
        <v>3</v>
      </c>
      <c r="F114">
        <v>2</v>
      </c>
      <c r="G114">
        <f>VLOOKUP(Table_Collate[[#This Row],[Practice ID]],IAM,4,FALSE)</f>
        <v>0</v>
      </c>
      <c r="H114">
        <f>_xlfn.IFNA(VLOOKUP(Table_Collate[[#This Row],[Current State]],Score,2,FALSE),0)</f>
        <v>0</v>
      </c>
    </row>
    <row r="115" spans="1:8">
      <c r="A115" t="s">
        <v>890</v>
      </c>
      <c r="B115">
        <v>0</v>
      </c>
      <c r="C115" t="s">
        <v>888</v>
      </c>
      <c r="D115" t="s">
        <v>1278</v>
      </c>
      <c r="E115">
        <v>1</v>
      </c>
      <c r="F115">
        <v>1</v>
      </c>
      <c r="G115">
        <f>VLOOKUP(Table_Collate[[#This Row],[Practice ID]],IR,4,FALSE)</f>
        <v>0</v>
      </c>
      <c r="H115">
        <f>_xlfn.IFNA(VLOOKUP(Table_Collate[[#This Row],[Current State]],Score,2,FALSE),0)</f>
        <v>0</v>
      </c>
    </row>
    <row r="116" spans="1:8">
      <c r="A116" t="s">
        <v>893</v>
      </c>
      <c r="B116">
        <v>0</v>
      </c>
      <c r="C116" t="s">
        <v>888</v>
      </c>
      <c r="D116" t="s">
        <v>1278</v>
      </c>
      <c r="E116">
        <v>1</v>
      </c>
      <c r="F116">
        <v>1</v>
      </c>
      <c r="G116">
        <f>VLOOKUP(Table_Collate[[#This Row],[Practice ID]],IR,4,FALSE)</f>
        <v>0</v>
      </c>
      <c r="H116">
        <f>_xlfn.IFNA(VLOOKUP(Table_Collate[[#This Row],[Current State]],Score,2,FALSE),0)</f>
        <v>0</v>
      </c>
    </row>
    <row r="117" spans="1:8">
      <c r="A117" t="s">
        <v>896</v>
      </c>
      <c r="B117">
        <v>0</v>
      </c>
      <c r="C117" t="s">
        <v>888</v>
      </c>
      <c r="D117" t="s">
        <v>1278</v>
      </c>
      <c r="E117">
        <v>1</v>
      </c>
      <c r="F117">
        <v>1</v>
      </c>
      <c r="G117">
        <f>VLOOKUP(Table_Collate[[#This Row],[Practice ID]],IR,4,FALSE)</f>
        <v>0</v>
      </c>
      <c r="H117">
        <f>_xlfn.IFNA(VLOOKUP(Table_Collate[[#This Row],[Current State]],Score,2,FALSE),0)</f>
        <v>0</v>
      </c>
    </row>
    <row r="118" spans="1:8">
      <c r="A118" t="s">
        <v>899</v>
      </c>
      <c r="B118">
        <v>0</v>
      </c>
      <c r="C118" t="s">
        <v>888</v>
      </c>
      <c r="D118" t="s">
        <v>1278</v>
      </c>
      <c r="E118">
        <v>2</v>
      </c>
      <c r="F118">
        <v>1</v>
      </c>
      <c r="G118">
        <f>VLOOKUP(Table_Collate[[#This Row],[Practice ID]],IR,4,FALSE)</f>
        <v>0</v>
      </c>
      <c r="H118">
        <f>_xlfn.IFNA(VLOOKUP(Table_Collate[[#This Row],[Current State]],Score,2,FALSE),0)</f>
        <v>0</v>
      </c>
    </row>
    <row r="119" spans="1:8">
      <c r="A119" t="s">
        <v>902</v>
      </c>
      <c r="B119">
        <v>0</v>
      </c>
      <c r="C119" t="s">
        <v>888</v>
      </c>
      <c r="D119" t="s">
        <v>1278</v>
      </c>
      <c r="E119">
        <v>2</v>
      </c>
      <c r="F119">
        <v>1</v>
      </c>
      <c r="G119">
        <f>VLOOKUP(Table_Collate[[#This Row],[Practice ID]],IR,4,FALSE)</f>
        <v>0</v>
      </c>
      <c r="H119">
        <f>_xlfn.IFNA(VLOOKUP(Table_Collate[[#This Row],[Current State]],Score,2,FALSE),0)</f>
        <v>0</v>
      </c>
    </row>
    <row r="120" spans="1:8">
      <c r="A120" t="s">
        <v>905</v>
      </c>
      <c r="B120">
        <v>0</v>
      </c>
      <c r="C120" t="s">
        <v>888</v>
      </c>
      <c r="D120" t="s">
        <v>1278</v>
      </c>
      <c r="E120">
        <v>3</v>
      </c>
      <c r="F120">
        <v>3</v>
      </c>
      <c r="G120">
        <f>VLOOKUP(Table_Collate[[#This Row],[Practice ID]],IR,4,FALSE)</f>
        <v>0</v>
      </c>
      <c r="H120">
        <f>_xlfn.IFNA(VLOOKUP(Table_Collate[[#This Row],[Current State]],Score,2,FALSE),0)</f>
        <v>0</v>
      </c>
    </row>
    <row r="121" spans="1:8">
      <c r="A121" t="s">
        <v>908</v>
      </c>
      <c r="B121">
        <v>0</v>
      </c>
      <c r="C121" t="s">
        <v>888</v>
      </c>
      <c r="D121" t="s">
        <v>1278</v>
      </c>
      <c r="E121">
        <v>3</v>
      </c>
      <c r="F121">
        <v>3</v>
      </c>
      <c r="G121">
        <f>VLOOKUP(Table_Collate[[#This Row],[Practice ID]],IR,4,FALSE)</f>
        <v>0</v>
      </c>
      <c r="H121">
        <f>_xlfn.IFNA(VLOOKUP(Table_Collate[[#This Row],[Current State]],Score,2,FALSE),0)</f>
        <v>0</v>
      </c>
    </row>
    <row r="122" spans="1:8">
      <c r="A122" t="s">
        <v>911</v>
      </c>
      <c r="B122">
        <v>0</v>
      </c>
      <c r="C122" t="s">
        <v>888</v>
      </c>
      <c r="D122" t="s">
        <v>1278</v>
      </c>
      <c r="E122">
        <v>3</v>
      </c>
      <c r="F122">
        <v>3</v>
      </c>
      <c r="G122">
        <f>VLOOKUP(Table_Collate[[#This Row],[Practice ID]],IR,4,FALSE)</f>
        <v>0</v>
      </c>
      <c r="H122">
        <f>_xlfn.IFNA(VLOOKUP(Table_Collate[[#This Row],[Current State]],Score,2,FALSE),0)</f>
        <v>0</v>
      </c>
    </row>
    <row r="123" spans="1:8">
      <c r="A123" t="s">
        <v>916</v>
      </c>
      <c r="B123">
        <v>0</v>
      </c>
      <c r="C123" t="s">
        <v>914</v>
      </c>
      <c r="D123" t="s">
        <v>1278</v>
      </c>
      <c r="E123">
        <v>1</v>
      </c>
      <c r="F123">
        <v>1</v>
      </c>
      <c r="G123">
        <f>VLOOKUP(Table_Collate[[#This Row],[Practice ID]],IR,4,FALSE)</f>
        <v>0</v>
      </c>
      <c r="H123">
        <f>_xlfn.IFNA(VLOOKUP(Table_Collate[[#This Row],[Current State]],Score,2,FALSE),0)</f>
        <v>0</v>
      </c>
    </row>
    <row r="124" spans="1:8">
      <c r="A124" t="s">
        <v>919</v>
      </c>
      <c r="B124">
        <v>0</v>
      </c>
      <c r="C124" t="s">
        <v>914</v>
      </c>
      <c r="D124" t="s">
        <v>1278</v>
      </c>
      <c r="E124">
        <v>1</v>
      </c>
      <c r="F124">
        <v>1</v>
      </c>
      <c r="G124">
        <f>VLOOKUP(Table_Collate[[#This Row],[Practice ID]],IR,4,FALSE)</f>
        <v>0</v>
      </c>
      <c r="H124">
        <f>_xlfn.IFNA(VLOOKUP(Table_Collate[[#This Row],[Current State]],Score,2,FALSE),0)</f>
        <v>0</v>
      </c>
    </row>
    <row r="125" spans="1:8">
      <c r="A125" t="s">
        <v>922</v>
      </c>
      <c r="B125">
        <v>0</v>
      </c>
      <c r="C125" t="s">
        <v>914</v>
      </c>
      <c r="D125" t="s">
        <v>1278</v>
      </c>
      <c r="E125">
        <v>1</v>
      </c>
      <c r="F125">
        <v>1</v>
      </c>
      <c r="G125">
        <f>VLOOKUP(Table_Collate[[#This Row],[Practice ID]],IR,4,FALSE)</f>
        <v>0</v>
      </c>
      <c r="H125">
        <f>_xlfn.IFNA(VLOOKUP(Table_Collate[[#This Row],[Current State]],Score,2,FALSE),0)</f>
        <v>0</v>
      </c>
    </row>
    <row r="126" spans="1:8">
      <c r="A126" t="s">
        <v>925</v>
      </c>
      <c r="B126">
        <v>0</v>
      </c>
      <c r="C126" t="s">
        <v>914</v>
      </c>
      <c r="D126" t="s">
        <v>1278</v>
      </c>
      <c r="E126">
        <v>2</v>
      </c>
      <c r="F126">
        <v>2</v>
      </c>
      <c r="G126">
        <f>VLOOKUP(Table_Collate[[#This Row],[Practice ID]],IR,4,FALSE)</f>
        <v>0</v>
      </c>
      <c r="H126">
        <f>_xlfn.IFNA(VLOOKUP(Table_Collate[[#This Row],[Current State]],Score,2,FALSE),0)</f>
        <v>0</v>
      </c>
    </row>
    <row r="127" spans="1:8">
      <c r="A127" t="s">
        <v>928</v>
      </c>
      <c r="B127">
        <v>0</v>
      </c>
      <c r="C127" t="s">
        <v>914</v>
      </c>
      <c r="D127" t="s">
        <v>1278</v>
      </c>
      <c r="E127">
        <v>2</v>
      </c>
      <c r="F127">
        <v>2</v>
      </c>
      <c r="G127">
        <f>VLOOKUP(Table_Collate[[#This Row],[Practice ID]],IR,4,FALSE)</f>
        <v>0</v>
      </c>
      <c r="H127">
        <f>_xlfn.IFNA(VLOOKUP(Table_Collate[[#This Row],[Current State]],Score,2,FALSE),0)</f>
        <v>0</v>
      </c>
    </row>
    <row r="128" spans="1:8">
      <c r="A128" t="s">
        <v>931</v>
      </c>
      <c r="B128">
        <v>0</v>
      </c>
      <c r="C128" t="s">
        <v>914</v>
      </c>
      <c r="D128" t="s">
        <v>1278</v>
      </c>
      <c r="E128">
        <v>2</v>
      </c>
      <c r="F128">
        <v>2</v>
      </c>
      <c r="G128">
        <f>VLOOKUP(Table_Collate[[#This Row],[Practice ID]],IR,4,FALSE)</f>
        <v>0</v>
      </c>
      <c r="H128">
        <f>_xlfn.IFNA(VLOOKUP(Table_Collate[[#This Row],[Current State]],Score,2,FALSE),0)</f>
        <v>0</v>
      </c>
    </row>
    <row r="129" spans="1:8">
      <c r="A129" t="s">
        <v>934</v>
      </c>
      <c r="B129">
        <v>0</v>
      </c>
      <c r="C129" t="s">
        <v>914</v>
      </c>
      <c r="D129" t="s">
        <v>1278</v>
      </c>
      <c r="E129">
        <v>3</v>
      </c>
      <c r="F129">
        <v>3</v>
      </c>
      <c r="G129">
        <f>VLOOKUP(Table_Collate[[#This Row],[Practice ID]],IR,4,FALSE)</f>
        <v>0</v>
      </c>
      <c r="H129">
        <f>_xlfn.IFNA(VLOOKUP(Table_Collate[[#This Row],[Current State]],Score,2,FALSE),0)</f>
        <v>0</v>
      </c>
    </row>
    <row r="130" spans="1:8">
      <c r="A130" t="s">
        <v>937</v>
      </c>
      <c r="B130">
        <v>0</v>
      </c>
      <c r="C130" t="s">
        <v>914</v>
      </c>
      <c r="D130" t="s">
        <v>1278</v>
      </c>
      <c r="E130">
        <v>3</v>
      </c>
      <c r="F130">
        <v>3</v>
      </c>
      <c r="G130">
        <f>VLOOKUP(Table_Collate[[#This Row],[Practice ID]],IR,4,FALSE)</f>
        <v>0</v>
      </c>
      <c r="H130">
        <f>_xlfn.IFNA(VLOOKUP(Table_Collate[[#This Row],[Current State]],Score,2,FALSE),0)</f>
        <v>0</v>
      </c>
    </row>
    <row r="131" spans="1:8">
      <c r="A131" t="s">
        <v>940</v>
      </c>
      <c r="B131">
        <v>0</v>
      </c>
      <c r="C131" t="s">
        <v>914</v>
      </c>
      <c r="D131" t="s">
        <v>1278</v>
      </c>
      <c r="E131">
        <v>3</v>
      </c>
      <c r="F131">
        <v>3</v>
      </c>
      <c r="G131">
        <f>VLOOKUP(Table_Collate[[#This Row],[Practice ID]],IR,4,FALSE)</f>
        <v>0</v>
      </c>
      <c r="H131">
        <f>_xlfn.IFNA(VLOOKUP(Table_Collate[[#This Row],[Current State]],Score,2,FALSE),0)</f>
        <v>0</v>
      </c>
    </row>
    <row r="132" spans="1:8">
      <c r="A132" t="s">
        <v>945</v>
      </c>
      <c r="B132">
        <v>0</v>
      </c>
      <c r="C132" t="s">
        <v>943</v>
      </c>
      <c r="D132" t="s">
        <v>1278</v>
      </c>
      <c r="E132">
        <v>1</v>
      </c>
      <c r="F132">
        <v>1</v>
      </c>
      <c r="G132">
        <f>VLOOKUP(Table_Collate[[#This Row],[Practice ID]],IR,4,FALSE)</f>
        <v>0</v>
      </c>
      <c r="H132">
        <f>_xlfn.IFNA(VLOOKUP(Table_Collate[[#This Row],[Current State]],Score,2,FALSE),0)</f>
        <v>0</v>
      </c>
    </row>
    <row r="133" spans="1:8">
      <c r="A133" t="s">
        <v>948</v>
      </c>
      <c r="B133">
        <v>0</v>
      </c>
      <c r="C133" t="s">
        <v>943</v>
      </c>
      <c r="D133" t="s">
        <v>1278</v>
      </c>
      <c r="E133">
        <v>1</v>
      </c>
      <c r="F133">
        <v>1</v>
      </c>
      <c r="G133">
        <f>VLOOKUP(Table_Collate[[#This Row],[Practice ID]],IR,4,FALSE)</f>
        <v>0</v>
      </c>
      <c r="H133">
        <f>_xlfn.IFNA(VLOOKUP(Table_Collate[[#This Row],[Current State]],Score,2,FALSE),0)</f>
        <v>0</v>
      </c>
    </row>
    <row r="134" spans="1:8">
      <c r="A134" t="s">
        <v>951</v>
      </c>
      <c r="B134">
        <v>0</v>
      </c>
      <c r="C134" t="s">
        <v>943</v>
      </c>
      <c r="D134" t="s">
        <v>1278</v>
      </c>
      <c r="E134">
        <v>1</v>
      </c>
      <c r="F134">
        <v>1</v>
      </c>
      <c r="G134">
        <f>VLOOKUP(Table_Collate[[#This Row],[Practice ID]],IR,4,FALSE)</f>
        <v>0</v>
      </c>
      <c r="H134">
        <f>_xlfn.IFNA(VLOOKUP(Table_Collate[[#This Row],[Current State]],Score,2,FALSE),0)</f>
        <v>0</v>
      </c>
    </row>
    <row r="135" spans="1:8">
      <c r="A135" t="s">
        <v>954</v>
      </c>
      <c r="B135">
        <v>0</v>
      </c>
      <c r="C135" t="s">
        <v>943</v>
      </c>
      <c r="D135" t="s">
        <v>1278</v>
      </c>
      <c r="E135">
        <v>2</v>
      </c>
      <c r="F135">
        <v>2</v>
      </c>
      <c r="G135">
        <f>VLOOKUP(Table_Collate[[#This Row],[Practice ID]],IR,4,FALSE)</f>
        <v>0</v>
      </c>
      <c r="H135">
        <f>_xlfn.IFNA(VLOOKUP(Table_Collate[[#This Row],[Current State]],Score,2,FALSE),0)</f>
        <v>0</v>
      </c>
    </row>
    <row r="136" spans="1:8">
      <c r="A136" t="s">
        <v>957</v>
      </c>
      <c r="B136">
        <v>0</v>
      </c>
      <c r="C136" t="s">
        <v>943</v>
      </c>
      <c r="D136" t="s">
        <v>1278</v>
      </c>
      <c r="E136">
        <v>2</v>
      </c>
      <c r="F136">
        <v>1</v>
      </c>
      <c r="G136">
        <f>VLOOKUP(Table_Collate[[#This Row],[Practice ID]],IR,4,FALSE)</f>
        <v>0</v>
      </c>
      <c r="H136">
        <f>_xlfn.IFNA(VLOOKUP(Table_Collate[[#This Row],[Current State]],Score,2,FALSE),0)</f>
        <v>0</v>
      </c>
    </row>
    <row r="137" spans="1:8">
      <c r="A137" t="s">
        <v>960</v>
      </c>
      <c r="B137">
        <v>0</v>
      </c>
      <c r="C137" t="s">
        <v>943</v>
      </c>
      <c r="D137" t="s">
        <v>1278</v>
      </c>
      <c r="E137">
        <v>2</v>
      </c>
      <c r="F137">
        <v>2</v>
      </c>
      <c r="G137">
        <f>VLOOKUP(Table_Collate[[#This Row],[Practice ID]],IR,4,FALSE)</f>
        <v>0</v>
      </c>
      <c r="H137">
        <f>_xlfn.IFNA(VLOOKUP(Table_Collate[[#This Row],[Current State]],Score,2,FALSE),0)</f>
        <v>0</v>
      </c>
    </row>
    <row r="138" spans="1:8">
      <c r="A138" t="s">
        <v>963</v>
      </c>
      <c r="B138">
        <v>0</v>
      </c>
      <c r="C138" t="s">
        <v>943</v>
      </c>
      <c r="D138" t="s">
        <v>1278</v>
      </c>
      <c r="E138">
        <v>2</v>
      </c>
      <c r="F138">
        <v>2</v>
      </c>
      <c r="G138">
        <f>VLOOKUP(Table_Collate[[#This Row],[Practice ID]],IR,4,FALSE)</f>
        <v>0</v>
      </c>
      <c r="H138">
        <f>_xlfn.IFNA(VLOOKUP(Table_Collate[[#This Row],[Current State]],Score,2,FALSE),0)</f>
        <v>0</v>
      </c>
    </row>
    <row r="139" spans="1:8">
      <c r="A139" t="s">
        <v>966</v>
      </c>
      <c r="B139">
        <v>0</v>
      </c>
      <c r="C139" t="s">
        <v>943</v>
      </c>
      <c r="D139" t="s">
        <v>1278</v>
      </c>
      <c r="E139">
        <v>3</v>
      </c>
      <c r="F139">
        <v>3</v>
      </c>
      <c r="G139">
        <f>VLOOKUP(Table_Collate[[#This Row],[Practice ID]],IR,4,FALSE)</f>
        <v>0</v>
      </c>
      <c r="H139">
        <f>_xlfn.IFNA(VLOOKUP(Table_Collate[[#This Row],[Current State]],Score,2,FALSE),0)</f>
        <v>0</v>
      </c>
    </row>
    <row r="140" spans="1:8">
      <c r="A140" t="s">
        <v>969</v>
      </c>
      <c r="B140">
        <v>0</v>
      </c>
      <c r="C140" t="s">
        <v>943</v>
      </c>
      <c r="D140" t="s">
        <v>1278</v>
      </c>
      <c r="E140">
        <v>3</v>
      </c>
      <c r="F140">
        <v>3</v>
      </c>
      <c r="G140">
        <f>VLOOKUP(Table_Collate[[#This Row],[Practice ID]],IR,4,FALSE)</f>
        <v>0</v>
      </c>
      <c r="H140">
        <f>_xlfn.IFNA(VLOOKUP(Table_Collate[[#This Row],[Current State]],Score,2,FALSE),0)</f>
        <v>0</v>
      </c>
    </row>
    <row r="141" spans="1:8">
      <c r="A141" t="s">
        <v>972</v>
      </c>
      <c r="B141">
        <v>0</v>
      </c>
      <c r="C141" t="s">
        <v>943</v>
      </c>
      <c r="D141" t="s">
        <v>1278</v>
      </c>
      <c r="E141">
        <v>3</v>
      </c>
      <c r="F141">
        <v>2</v>
      </c>
      <c r="G141">
        <f>VLOOKUP(Table_Collate[[#This Row],[Practice ID]],IR,4,FALSE)</f>
        <v>0</v>
      </c>
      <c r="H141">
        <f>_xlfn.IFNA(VLOOKUP(Table_Collate[[#This Row],[Current State]],Score,2,FALSE),0)</f>
        <v>0</v>
      </c>
    </row>
    <row r="142" spans="1:8">
      <c r="A142" t="s">
        <v>975</v>
      </c>
      <c r="B142">
        <v>0</v>
      </c>
      <c r="C142" t="s">
        <v>943</v>
      </c>
      <c r="D142" t="s">
        <v>1278</v>
      </c>
      <c r="E142">
        <v>3</v>
      </c>
      <c r="F142">
        <v>2</v>
      </c>
      <c r="G142">
        <f>VLOOKUP(Table_Collate[[#This Row],[Practice ID]],IR,4,FALSE)</f>
        <v>0</v>
      </c>
      <c r="H142">
        <f>_xlfn.IFNA(VLOOKUP(Table_Collate[[#This Row],[Current State]],Score,2,FALSE),0)</f>
        <v>0</v>
      </c>
    </row>
    <row r="143" spans="1:8">
      <c r="A143" t="s">
        <v>978</v>
      </c>
      <c r="B143">
        <v>0</v>
      </c>
      <c r="C143" t="s">
        <v>943</v>
      </c>
      <c r="D143" t="s">
        <v>1278</v>
      </c>
      <c r="E143">
        <v>3</v>
      </c>
      <c r="F143">
        <v>3</v>
      </c>
      <c r="G143">
        <f>VLOOKUP(Table_Collate[[#This Row],[Practice ID]],IR,4,FALSE)</f>
        <v>0</v>
      </c>
      <c r="H143">
        <f>_xlfn.IFNA(VLOOKUP(Table_Collate[[#This Row],[Current State]],Score,2,FALSE),0)</f>
        <v>0</v>
      </c>
    </row>
    <row r="144" spans="1:8">
      <c r="A144" t="s">
        <v>981</v>
      </c>
      <c r="B144">
        <v>0</v>
      </c>
      <c r="C144" t="s">
        <v>943</v>
      </c>
      <c r="D144" t="s">
        <v>1278</v>
      </c>
      <c r="E144">
        <v>3</v>
      </c>
      <c r="F144">
        <v>3</v>
      </c>
      <c r="G144">
        <f>VLOOKUP(Table_Collate[[#This Row],[Practice ID]],IR,4,FALSE)</f>
        <v>0</v>
      </c>
      <c r="H144">
        <f>_xlfn.IFNA(VLOOKUP(Table_Collate[[#This Row],[Current State]],Score,2,FALSE),0)</f>
        <v>0</v>
      </c>
    </row>
    <row r="145" spans="1:8">
      <c r="A145" t="s">
        <v>984</v>
      </c>
      <c r="B145">
        <v>0</v>
      </c>
      <c r="C145" t="s">
        <v>943</v>
      </c>
      <c r="D145" t="s">
        <v>1278</v>
      </c>
      <c r="E145">
        <v>3</v>
      </c>
      <c r="F145">
        <v>3</v>
      </c>
      <c r="G145">
        <f>VLOOKUP(Table_Collate[[#This Row],[Practice ID]],IR,4,FALSE)</f>
        <v>0</v>
      </c>
      <c r="H145">
        <f>_xlfn.IFNA(VLOOKUP(Table_Collate[[#This Row],[Current State]],Score,2,FALSE),0)</f>
        <v>0</v>
      </c>
    </row>
    <row r="146" spans="1:8">
      <c r="A146" t="s">
        <v>987</v>
      </c>
      <c r="B146">
        <v>0</v>
      </c>
      <c r="C146" t="s">
        <v>943</v>
      </c>
      <c r="D146" t="s">
        <v>1278</v>
      </c>
      <c r="E146">
        <v>3</v>
      </c>
      <c r="F146">
        <v>2</v>
      </c>
      <c r="G146">
        <f>VLOOKUP(Table_Collate[[#This Row],[Practice ID]],IR,4,FALSE)</f>
        <v>0</v>
      </c>
      <c r="H146">
        <f>_xlfn.IFNA(VLOOKUP(Table_Collate[[#This Row],[Current State]],Score,2,FALSE),0)</f>
        <v>0</v>
      </c>
    </row>
    <row r="147" spans="1:8">
      <c r="A147" t="s">
        <v>992</v>
      </c>
      <c r="B147">
        <v>0</v>
      </c>
      <c r="C147" t="s">
        <v>990</v>
      </c>
      <c r="D147" t="s">
        <v>1278</v>
      </c>
      <c r="E147">
        <v>1</v>
      </c>
      <c r="F147">
        <v>1</v>
      </c>
      <c r="G147">
        <f>VLOOKUP(Table_Collate[[#This Row],[Practice ID]],IR,4,FALSE)</f>
        <v>0</v>
      </c>
      <c r="H147">
        <f>_xlfn.IFNA(VLOOKUP(Table_Collate[[#This Row],[Current State]],Score,2,FALSE),0)</f>
        <v>0</v>
      </c>
    </row>
    <row r="148" spans="1:8">
      <c r="A148" t="s">
        <v>995</v>
      </c>
      <c r="B148">
        <v>0</v>
      </c>
      <c r="C148" t="s">
        <v>990</v>
      </c>
      <c r="D148" t="s">
        <v>1278</v>
      </c>
      <c r="E148">
        <v>1</v>
      </c>
      <c r="F148">
        <v>1</v>
      </c>
      <c r="G148">
        <f>VLOOKUP(Table_Collate[[#This Row],[Practice ID]],IR,4,FALSE)</f>
        <v>0</v>
      </c>
      <c r="H148">
        <f>_xlfn.IFNA(VLOOKUP(Table_Collate[[#This Row],[Current State]],Score,2,FALSE),0)</f>
        <v>0</v>
      </c>
    </row>
    <row r="149" spans="1:8">
      <c r="A149" t="s">
        <v>998</v>
      </c>
      <c r="B149">
        <v>0</v>
      </c>
      <c r="C149" t="s">
        <v>990</v>
      </c>
      <c r="D149" t="s">
        <v>1278</v>
      </c>
      <c r="E149">
        <v>1</v>
      </c>
      <c r="F149">
        <v>1</v>
      </c>
      <c r="G149">
        <f>VLOOKUP(Table_Collate[[#This Row],[Practice ID]],IR,4,FALSE)</f>
        <v>0</v>
      </c>
      <c r="H149">
        <f>_xlfn.IFNA(VLOOKUP(Table_Collate[[#This Row],[Current State]],Score,2,FALSE),0)</f>
        <v>0</v>
      </c>
    </row>
    <row r="150" spans="1:8">
      <c r="A150" t="s">
        <v>1001</v>
      </c>
      <c r="B150">
        <v>0</v>
      </c>
      <c r="C150" t="s">
        <v>990</v>
      </c>
      <c r="D150" t="s">
        <v>1278</v>
      </c>
      <c r="E150">
        <v>2</v>
      </c>
      <c r="F150">
        <v>2</v>
      </c>
      <c r="G150">
        <f>VLOOKUP(Table_Collate[[#This Row],[Practice ID]],IR,4,FALSE)</f>
        <v>0</v>
      </c>
      <c r="H150">
        <f>_xlfn.IFNA(VLOOKUP(Table_Collate[[#This Row],[Current State]],Score,2,FALSE),0)</f>
        <v>0</v>
      </c>
    </row>
    <row r="151" spans="1:8">
      <c r="A151" t="s">
        <v>1004</v>
      </c>
      <c r="B151">
        <v>0</v>
      </c>
      <c r="C151" t="s">
        <v>990</v>
      </c>
      <c r="D151" t="s">
        <v>1278</v>
      </c>
      <c r="E151">
        <v>2</v>
      </c>
      <c r="F151">
        <v>2</v>
      </c>
      <c r="G151">
        <f>VLOOKUP(Table_Collate[[#This Row],[Practice ID]],IR,4,FALSE)</f>
        <v>0</v>
      </c>
      <c r="H151">
        <f>_xlfn.IFNA(VLOOKUP(Table_Collate[[#This Row],[Current State]],Score,2,FALSE),0)</f>
        <v>0</v>
      </c>
    </row>
    <row r="152" spans="1:8">
      <c r="A152" t="s">
        <v>1007</v>
      </c>
      <c r="B152">
        <v>0</v>
      </c>
      <c r="C152" t="s">
        <v>990</v>
      </c>
      <c r="D152" t="s">
        <v>1278</v>
      </c>
      <c r="E152">
        <v>2</v>
      </c>
      <c r="F152">
        <v>2</v>
      </c>
      <c r="G152">
        <f>VLOOKUP(Table_Collate[[#This Row],[Practice ID]],IR,4,FALSE)</f>
        <v>0</v>
      </c>
      <c r="H152">
        <f>_xlfn.IFNA(VLOOKUP(Table_Collate[[#This Row],[Current State]],Score,2,FALSE),0)</f>
        <v>0</v>
      </c>
    </row>
    <row r="153" spans="1:8">
      <c r="A153" t="s">
        <v>1010</v>
      </c>
      <c r="B153">
        <v>0</v>
      </c>
      <c r="C153" t="s">
        <v>990</v>
      </c>
      <c r="D153" t="s">
        <v>1278</v>
      </c>
      <c r="E153">
        <v>3</v>
      </c>
      <c r="F153">
        <v>3</v>
      </c>
      <c r="G153">
        <f>VLOOKUP(Table_Collate[[#This Row],[Practice ID]],IR,4,FALSE)</f>
        <v>0</v>
      </c>
      <c r="H153">
        <f>_xlfn.IFNA(VLOOKUP(Table_Collate[[#This Row],[Current State]],Score,2,FALSE),0)</f>
        <v>0</v>
      </c>
    </row>
    <row r="154" spans="1:8">
      <c r="A154" t="s">
        <v>1013</v>
      </c>
      <c r="B154">
        <v>0</v>
      </c>
      <c r="C154" t="s">
        <v>990</v>
      </c>
      <c r="D154" t="s">
        <v>1278</v>
      </c>
      <c r="E154">
        <v>3</v>
      </c>
      <c r="F154">
        <v>3</v>
      </c>
      <c r="G154">
        <f>VLOOKUP(Table_Collate[[#This Row],[Practice ID]],IR,4,FALSE)</f>
        <v>0</v>
      </c>
      <c r="H154">
        <f>_xlfn.IFNA(VLOOKUP(Table_Collate[[#This Row],[Current State]],Score,2,FALSE),0)</f>
        <v>0</v>
      </c>
    </row>
    <row r="155" spans="1:8">
      <c r="A155" t="s">
        <v>1016</v>
      </c>
      <c r="B155">
        <v>0</v>
      </c>
      <c r="C155" t="s">
        <v>990</v>
      </c>
      <c r="D155" t="s">
        <v>1278</v>
      </c>
      <c r="E155">
        <v>3</v>
      </c>
      <c r="F155">
        <v>3</v>
      </c>
      <c r="G155">
        <f>VLOOKUP(Table_Collate[[#This Row],[Practice ID]],IR,4,FALSE)</f>
        <v>0</v>
      </c>
      <c r="H155">
        <f>_xlfn.IFNA(VLOOKUP(Table_Collate[[#This Row],[Current State]],Score,2,FALSE),0)</f>
        <v>0</v>
      </c>
    </row>
    <row r="156" spans="1:8">
      <c r="A156" t="s">
        <v>1019</v>
      </c>
      <c r="B156">
        <v>0</v>
      </c>
      <c r="C156" t="s">
        <v>990</v>
      </c>
      <c r="D156" t="s">
        <v>1278</v>
      </c>
      <c r="E156">
        <v>3</v>
      </c>
      <c r="F156">
        <v>1</v>
      </c>
      <c r="G156">
        <f>VLOOKUP(Table_Collate[[#This Row],[Practice ID]],IR,4,FALSE)</f>
        <v>0</v>
      </c>
      <c r="H156">
        <f>_xlfn.IFNA(VLOOKUP(Table_Collate[[#This Row],[Current State]],Score,2,FALSE),0)</f>
        <v>0</v>
      </c>
    </row>
    <row r="157" spans="1:8">
      <c r="A157" t="s">
        <v>1022</v>
      </c>
      <c r="B157">
        <v>0</v>
      </c>
      <c r="C157" t="s">
        <v>990</v>
      </c>
      <c r="D157" t="s">
        <v>1278</v>
      </c>
      <c r="E157">
        <v>3</v>
      </c>
      <c r="F157">
        <v>3</v>
      </c>
      <c r="G157">
        <f>VLOOKUP(Table_Collate[[#This Row],[Practice ID]],IR,4,FALSE)</f>
        <v>0</v>
      </c>
      <c r="H157">
        <f>_xlfn.IFNA(VLOOKUP(Table_Collate[[#This Row],[Current State]],Score,2,FALSE),0)</f>
        <v>0</v>
      </c>
    </row>
    <row r="158" spans="1:8">
      <c r="A158" t="s">
        <v>1027</v>
      </c>
      <c r="B158">
        <v>1</v>
      </c>
      <c r="C158" t="s">
        <v>1025</v>
      </c>
      <c r="D158" t="s">
        <v>1278</v>
      </c>
      <c r="E158">
        <v>2</v>
      </c>
      <c r="F158">
        <v>1</v>
      </c>
      <c r="G158">
        <f>VLOOKUP(Table_Collate[[#This Row],[Practice ID]],IR,4,FALSE)</f>
        <v>0</v>
      </c>
      <c r="H158">
        <f>_xlfn.IFNA(VLOOKUP(Table_Collate[[#This Row],[Current State]],Score,2,FALSE),0)</f>
        <v>0</v>
      </c>
    </row>
    <row r="159" spans="1:8">
      <c r="A159" t="s">
        <v>1030</v>
      </c>
      <c r="B159">
        <v>1</v>
      </c>
      <c r="C159" t="s">
        <v>1025</v>
      </c>
      <c r="D159" t="s">
        <v>1278</v>
      </c>
      <c r="E159">
        <v>2</v>
      </c>
      <c r="F159">
        <v>1</v>
      </c>
      <c r="G159">
        <f>VLOOKUP(Table_Collate[[#This Row],[Practice ID]],IR,4,FALSE)</f>
        <v>0</v>
      </c>
      <c r="H159">
        <f>_xlfn.IFNA(VLOOKUP(Table_Collate[[#This Row],[Current State]],Score,2,FALSE),0)</f>
        <v>0</v>
      </c>
    </row>
    <row r="160" spans="1:8">
      <c r="A160" t="s">
        <v>1033</v>
      </c>
      <c r="B160">
        <v>1</v>
      </c>
      <c r="C160" t="s">
        <v>1025</v>
      </c>
      <c r="D160" t="s">
        <v>1278</v>
      </c>
      <c r="E160">
        <v>3</v>
      </c>
      <c r="F160">
        <v>1</v>
      </c>
      <c r="G160">
        <f>VLOOKUP(Table_Collate[[#This Row],[Practice ID]],IR,4,FALSE)</f>
        <v>0</v>
      </c>
      <c r="H160">
        <f>_xlfn.IFNA(VLOOKUP(Table_Collate[[#This Row],[Current State]],Score,2,FALSE),0)</f>
        <v>0</v>
      </c>
    </row>
    <row r="161" spans="1:8">
      <c r="A161" t="s">
        <v>658</v>
      </c>
      <c r="B161">
        <v>0</v>
      </c>
      <c r="C161" t="s">
        <v>656</v>
      </c>
      <c r="D161" t="s">
        <v>1275</v>
      </c>
      <c r="E161">
        <v>1</v>
      </c>
      <c r="F161">
        <v>1</v>
      </c>
      <c r="G161">
        <f>VLOOKUP(Table_Collate[[#This Row],[Practice ID]],ISC,4,FALSE)</f>
        <v>0</v>
      </c>
      <c r="H161">
        <f>_xlfn.IFNA(VLOOKUP(Table_Collate[[#This Row],[Current State]],Score,2,FALSE),0)</f>
        <v>0</v>
      </c>
    </row>
    <row r="162" spans="1:8">
      <c r="A162" t="s">
        <v>661</v>
      </c>
      <c r="B162">
        <v>0</v>
      </c>
      <c r="C162" t="s">
        <v>656</v>
      </c>
      <c r="D162" t="s">
        <v>1275</v>
      </c>
      <c r="E162">
        <v>1</v>
      </c>
      <c r="F162">
        <v>1</v>
      </c>
      <c r="G162">
        <f>VLOOKUP(Table_Collate[[#This Row],[Practice ID]],ISC,4,FALSE)</f>
        <v>0</v>
      </c>
      <c r="H162">
        <f>_xlfn.IFNA(VLOOKUP(Table_Collate[[#This Row],[Current State]],Score,2,FALSE),0)</f>
        <v>0</v>
      </c>
    </row>
    <row r="163" spans="1:8">
      <c r="A163" t="s">
        <v>664</v>
      </c>
      <c r="B163">
        <v>0</v>
      </c>
      <c r="C163" t="s">
        <v>656</v>
      </c>
      <c r="D163" t="s">
        <v>1275</v>
      </c>
      <c r="E163">
        <v>2</v>
      </c>
      <c r="F163">
        <v>1</v>
      </c>
      <c r="G163">
        <f>VLOOKUP(Table_Collate[[#This Row],[Practice ID]],ISC,4,FALSE)</f>
        <v>0</v>
      </c>
      <c r="H163">
        <f>_xlfn.IFNA(VLOOKUP(Table_Collate[[#This Row],[Current State]],Score,2,FALSE),0)</f>
        <v>0</v>
      </c>
    </row>
    <row r="164" spans="1:8">
      <c r="A164" t="s">
        <v>667</v>
      </c>
      <c r="B164">
        <v>0</v>
      </c>
      <c r="C164" t="s">
        <v>656</v>
      </c>
      <c r="D164" t="s">
        <v>1275</v>
      </c>
      <c r="E164">
        <v>2</v>
      </c>
      <c r="F164">
        <v>2</v>
      </c>
      <c r="G164">
        <f>VLOOKUP(Table_Collate[[#This Row],[Practice ID]],ISC,4,FALSE)</f>
        <v>0</v>
      </c>
      <c r="H164">
        <f>_xlfn.IFNA(VLOOKUP(Table_Collate[[#This Row],[Current State]],Score,2,FALSE),0)</f>
        <v>0</v>
      </c>
    </row>
    <row r="165" spans="1:8">
      <c r="A165" t="s">
        <v>670</v>
      </c>
      <c r="B165">
        <v>0</v>
      </c>
      <c r="C165" t="s">
        <v>656</v>
      </c>
      <c r="D165" t="s">
        <v>1275</v>
      </c>
      <c r="E165">
        <v>2</v>
      </c>
      <c r="F165">
        <v>2</v>
      </c>
      <c r="G165">
        <f>VLOOKUP(Table_Collate[[#This Row],[Practice ID]],ISC,4,FALSE)</f>
        <v>0</v>
      </c>
      <c r="H165">
        <f>_xlfn.IFNA(VLOOKUP(Table_Collate[[#This Row],[Current State]],Score,2,FALSE),0)</f>
        <v>0</v>
      </c>
    </row>
    <row r="166" spans="1:8">
      <c r="A166" t="s">
        <v>673</v>
      </c>
      <c r="B166">
        <v>0</v>
      </c>
      <c r="C166" t="s">
        <v>656</v>
      </c>
      <c r="D166" t="s">
        <v>1275</v>
      </c>
      <c r="E166">
        <v>2</v>
      </c>
      <c r="F166">
        <v>2</v>
      </c>
      <c r="G166">
        <f>VLOOKUP(Table_Collate[[#This Row],[Practice ID]],ISC,4,FALSE)</f>
        <v>0</v>
      </c>
      <c r="H166">
        <f>_xlfn.IFNA(VLOOKUP(Table_Collate[[#This Row],[Current State]],Score,2,FALSE),0)</f>
        <v>0</v>
      </c>
    </row>
    <row r="167" spans="1:8">
      <c r="A167" t="s">
        <v>676</v>
      </c>
      <c r="B167">
        <v>0</v>
      </c>
      <c r="C167" t="s">
        <v>656</v>
      </c>
      <c r="D167" t="s">
        <v>1275</v>
      </c>
      <c r="E167">
        <v>2</v>
      </c>
      <c r="F167">
        <v>2</v>
      </c>
      <c r="G167">
        <f>VLOOKUP(Table_Collate[[#This Row],[Practice ID]],ISC,4,FALSE)</f>
        <v>0</v>
      </c>
      <c r="H167">
        <f>_xlfn.IFNA(VLOOKUP(Table_Collate[[#This Row],[Current State]],Score,2,FALSE),0)</f>
        <v>0</v>
      </c>
    </row>
    <row r="168" spans="1:8">
      <c r="A168" t="s">
        <v>679</v>
      </c>
      <c r="B168">
        <v>0</v>
      </c>
      <c r="C168" t="s">
        <v>656</v>
      </c>
      <c r="D168" t="s">
        <v>1275</v>
      </c>
      <c r="E168">
        <v>3</v>
      </c>
      <c r="F168">
        <v>3</v>
      </c>
      <c r="G168">
        <f>VLOOKUP(Table_Collate[[#This Row],[Practice ID]],ISC,4,FALSE)</f>
        <v>0</v>
      </c>
      <c r="H168">
        <f>_xlfn.IFNA(VLOOKUP(Table_Collate[[#This Row],[Current State]],Score,2,FALSE),0)</f>
        <v>0</v>
      </c>
    </row>
    <row r="169" spans="1:8">
      <c r="A169" t="s">
        <v>682</v>
      </c>
      <c r="B169">
        <v>0</v>
      </c>
      <c r="C169" t="s">
        <v>656</v>
      </c>
      <c r="D169" t="s">
        <v>1275</v>
      </c>
      <c r="E169">
        <v>3</v>
      </c>
      <c r="F169">
        <v>3</v>
      </c>
      <c r="G169">
        <f>VLOOKUP(Table_Collate[[#This Row],[Practice ID]],ISC,4,FALSE)</f>
        <v>0</v>
      </c>
      <c r="H169">
        <f>_xlfn.IFNA(VLOOKUP(Table_Collate[[#This Row],[Current State]],Score,2,FALSE),0)</f>
        <v>0</v>
      </c>
    </row>
    <row r="170" spans="1:8">
      <c r="A170" t="s">
        <v>685</v>
      </c>
      <c r="B170">
        <v>0</v>
      </c>
      <c r="C170" t="s">
        <v>656</v>
      </c>
      <c r="D170" t="s">
        <v>1275</v>
      </c>
      <c r="E170">
        <v>3</v>
      </c>
      <c r="F170">
        <v>3</v>
      </c>
      <c r="G170">
        <f>VLOOKUP(Table_Collate[[#This Row],[Practice ID]],ISC,4,FALSE)</f>
        <v>0</v>
      </c>
      <c r="H170">
        <f>_xlfn.IFNA(VLOOKUP(Table_Collate[[#This Row],[Current State]],Score,2,FALSE),0)</f>
        <v>0</v>
      </c>
    </row>
    <row r="171" spans="1:8">
      <c r="A171" t="s">
        <v>688</v>
      </c>
      <c r="B171">
        <v>0</v>
      </c>
      <c r="C171" t="s">
        <v>656</v>
      </c>
      <c r="D171" t="s">
        <v>1275</v>
      </c>
      <c r="E171">
        <v>3</v>
      </c>
      <c r="F171">
        <v>3</v>
      </c>
      <c r="G171">
        <f>VLOOKUP(Table_Collate[[#This Row],[Practice ID]],ISC,4,FALSE)</f>
        <v>0</v>
      </c>
      <c r="H171">
        <f>_xlfn.IFNA(VLOOKUP(Table_Collate[[#This Row],[Current State]],Score,2,FALSE),0)</f>
        <v>0</v>
      </c>
    </row>
    <row r="172" spans="1:8">
      <c r="A172" t="s">
        <v>691</v>
      </c>
      <c r="B172">
        <v>0</v>
      </c>
      <c r="C172" t="s">
        <v>656</v>
      </c>
      <c r="D172" t="s">
        <v>1275</v>
      </c>
      <c r="E172">
        <v>3</v>
      </c>
      <c r="F172">
        <v>3</v>
      </c>
      <c r="G172">
        <f>VLOOKUP(Table_Collate[[#This Row],[Practice ID]],ISC,4,FALSE)</f>
        <v>0</v>
      </c>
      <c r="H172">
        <f>_xlfn.IFNA(VLOOKUP(Table_Collate[[#This Row],[Current State]],Score,2,FALSE),0)</f>
        <v>0</v>
      </c>
    </row>
    <row r="173" spans="1:8">
      <c r="A173" t="s">
        <v>341</v>
      </c>
      <c r="B173">
        <v>0</v>
      </c>
      <c r="C173" t="s">
        <v>339</v>
      </c>
      <c r="D173" t="s">
        <v>1271</v>
      </c>
      <c r="E173">
        <v>2</v>
      </c>
      <c r="F173">
        <v>1</v>
      </c>
      <c r="G173">
        <f>VLOOKUP(Table_Collate[[#This Row],[Practice ID]],RM,4,FALSE)</f>
        <v>0</v>
      </c>
      <c r="H173">
        <f>_xlfn.IFNA(VLOOKUP(Table_Collate[[#This Row],[Current State]],Score,2,FALSE),0)</f>
        <v>0</v>
      </c>
    </row>
    <row r="174" spans="1:8">
      <c r="A174" t="s">
        <v>344</v>
      </c>
      <c r="B174">
        <v>0</v>
      </c>
      <c r="C174" t="s">
        <v>339</v>
      </c>
      <c r="D174" t="s">
        <v>1271</v>
      </c>
      <c r="E174">
        <v>2</v>
      </c>
      <c r="F174">
        <v>2</v>
      </c>
      <c r="G174">
        <f>VLOOKUP(Table_Collate[[#This Row],[Practice ID]],RM,4,FALSE)</f>
        <v>0</v>
      </c>
      <c r="H174">
        <f>_xlfn.IFNA(VLOOKUP(Table_Collate[[#This Row],[Current State]],Score,2,FALSE),0)</f>
        <v>0</v>
      </c>
    </row>
    <row r="175" spans="1:8">
      <c r="A175" t="s">
        <v>347</v>
      </c>
      <c r="B175">
        <v>0</v>
      </c>
      <c r="C175" t="s">
        <v>339</v>
      </c>
      <c r="D175" t="s">
        <v>1271</v>
      </c>
      <c r="E175">
        <v>3</v>
      </c>
      <c r="F175">
        <v>3</v>
      </c>
      <c r="G175">
        <f>VLOOKUP(Table_Collate[[#This Row],[Practice ID]],RM,4,FALSE)</f>
        <v>0</v>
      </c>
      <c r="H175">
        <f>_xlfn.IFNA(VLOOKUP(Table_Collate[[#This Row],[Current State]],Score,2,FALSE),0)</f>
        <v>0</v>
      </c>
    </row>
    <row r="176" spans="1:8">
      <c r="A176" t="s">
        <v>350</v>
      </c>
      <c r="B176">
        <v>0</v>
      </c>
      <c r="C176" t="s">
        <v>339</v>
      </c>
      <c r="D176" t="s">
        <v>1271</v>
      </c>
      <c r="E176">
        <v>3</v>
      </c>
      <c r="F176">
        <v>3</v>
      </c>
      <c r="G176">
        <f>VLOOKUP(Table_Collate[[#This Row],[Practice ID]],RM,4,FALSE)</f>
        <v>0</v>
      </c>
      <c r="H176">
        <f>_xlfn.IFNA(VLOOKUP(Table_Collate[[#This Row],[Current State]],Score,2,FALSE),0)</f>
        <v>0</v>
      </c>
    </row>
    <row r="177" spans="1:8">
      <c r="A177" t="s">
        <v>353</v>
      </c>
      <c r="B177">
        <v>0</v>
      </c>
      <c r="C177" t="s">
        <v>339</v>
      </c>
      <c r="D177" t="s">
        <v>1271</v>
      </c>
      <c r="E177">
        <v>3</v>
      </c>
      <c r="F177">
        <v>3</v>
      </c>
      <c r="G177">
        <f>VLOOKUP(Table_Collate[[#This Row],[Practice ID]],RM,4,FALSE)</f>
        <v>0</v>
      </c>
      <c r="H177">
        <f>_xlfn.IFNA(VLOOKUP(Table_Collate[[#This Row],[Current State]],Score,2,FALSE),0)</f>
        <v>0</v>
      </c>
    </row>
    <row r="178" spans="1:8">
      <c r="A178" t="s">
        <v>358</v>
      </c>
      <c r="B178">
        <v>0</v>
      </c>
      <c r="C178" t="s">
        <v>356</v>
      </c>
      <c r="D178" t="s">
        <v>1271</v>
      </c>
      <c r="E178">
        <v>1</v>
      </c>
      <c r="F178">
        <v>1</v>
      </c>
      <c r="G178">
        <f>VLOOKUP(Table_Collate[[#This Row],[Practice ID]],RM,4,FALSE)</f>
        <v>0</v>
      </c>
      <c r="H178">
        <f>_xlfn.IFNA(VLOOKUP(Table_Collate[[#This Row],[Current State]],Score,2,FALSE),0)</f>
        <v>0</v>
      </c>
    </row>
    <row r="179" spans="1:8">
      <c r="A179" t="s">
        <v>361</v>
      </c>
      <c r="B179">
        <v>0</v>
      </c>
      <c r="C179" t="s">
        <v>356</v>
      </c>
      <c r="D179" t="s">
        <v>1271</v>
      </c>
      <c r="E179">
        <v>1</v>
      </c>
      <c r="F179">
        <v>1</v>
      </c>
      <c r="G179">
        <f>VLOOKUP(Table_Collate[[#This Row],[Practice ID]],RM,4,FALSE)</f>
        <v>0</v>
      </c>
      <c r="H179">
        <f>_xlfn.IFNA(VLOOKUP(Table_Collate[[#This Row],[Current State]],Score,2,FALSE),0)</f>
        <v>0</v>
      </c>
    </row>
    <row r="180" spans="1:8">
      <c r="A180" t="s">
        <v>364</v>
      </c>
      <c r="B180">
        <v>0</v>
      </c>
      <c r="C180" t="s">
        <v>356</v>
      </c>
      <c r="D180" t="s">
        <v>1271</v>
      </c>
      <c r="E180">
        <v>2</v>
      </c>
      <c r="F180">
        <v>1</v>
      </c>
      <c r="G180">
        <f>VLOOKUP(Table_Collate[[#This Row],[Practice ID]],RM,4,FALSE)</f>
        <v>0</v>
      </c>
      <c r="H180">
        <f>_xlfn.IFNA(VLOOKUP(Table_Collate[[#This Row],[Current State]],Score,2,FALSE),0)</f>
        <v>0</v>
      </c>
    </row>
    <row r="181" spans="1:8">
      <c r="A181" t="s">
        <v>367</v>
      </c>
      <c r="B181">
        <v>0</v>
      </c>
      <c r="C181" t="s">
        <v>356</v>
      </c>
      <c r="D181" t="s">
        <v>1271</v>
      </c>
      <c r="E181">
        <v>2</v>
      </c>
      <c r="F181">
        <v>1</v>
      </c>
      <c r="G181">
        <f>VLOOKUP(Table_Collate[[#This Row],[Practice ID]],RM,4,FALSE)</f>
        <v>0</v>
      </c>
      <c r="H181">
        <f>_xlfn.IFNA(VLOOKUP(Table_Collate[[#This Row],[Current State]],Score,2,FALSE),0)</f>
        <v>0</v>
      </c>
    </row>
    <row r="182" spans="1:8">
      <c r="A182" t="s">
        <v>370</v>
      </c>
      <c r="B182">
        <v>0</v>
      </c>
      <c r="C182" t="s">
        <v>356</v>
      </c>
      <c r="D182" t="s">
        <v>1271</v>
      </c>
      <c r="E182">
        <v>2</v>
      </c>
      <c r="F182">
        <v>2</v>
      </c>
      <c r="G182">
        <f>VLOOKUP(Table_Collate[[#This Row],[Practice ID]],RM,4,FALSE)</f>
        <v>0</v>
      </c>
      <c r="H182">
        <f>_xlfn.IFNA(VLOOKUP(Table_Collate[[#This Row],[Current State]],Score,2,FALSE),0)</f>
        <v>0</v>
      </c>
    </row>
    <row r="183" spans="1:8">
      <c r="A183" t="s">
        <v>373</v>
      </c>
      <c r="B183">
        <v>0</v>
      </c>
      <c r="C183" t="s">
        <v>356</v>
      </c>
      <c r="D183" t="s">
        <v>1271</v>
      </c>
      <c r="E183">
        <v>2</v>
      </c>
      <c r="F183">
        <v>2</v>
      </c>
      <c r="G183">
        <f>VLOOKUP(Table_Collate[[#This Row],[Practice ID]],RM,4,FALSE)</f>
        <v>0</v>
      </c>
      <c r="H183">
        <f>_xlfn.IFNA(VLOOKUP(Table_Collate[[#This Row],[Current State]],Score,2,FALSE),0)</f>
        <v>0</v>
      </c>
    </row>
    <row r="184" spans="1:8">
      <c r="A184" t="s">
        <v>376</v>
      </c>
      <c r="B184">
        <v>0</v>
      </c>
      <c r="C184" t="s">
        <v>356</v>
      </c>
      <c r="D184" t="s">
        <v>1271</v>
      </c>
      <c r="E184">
        <v>2</v>
      </c>
      <c r="F184">
        <v>2</v>
      </c>
      <c r="G184">
        <f>VLOOKUP(Table_Collate[[#This Row],[Practice ID]],RM,4,FALSE)</f>
        <v>0</v>
      </c>
      <c r="H184">
        <f>_xlfn.IFNA(VLOOKUP(Table_Collate[[#This Row],[Current State]],Score,2,FALSE),0)</f>
        <v>0</v>
      </c>
    </row>
    <row r="185" spans="1:8">
      <c r="A185" t="s">
        <v>379</v>
      </c>
      <c r="B185">
        <v>0</v>
      </c>
      <c r="C185" t="s">
        <v>356</v>
      </c>
      <c r="D185" t="s">
        <v>1271</v>
      </c>
      <c r="E185">
        <v>3</v>
      </c>
      <c r="F185">
        <v>3</v>
      </c>
      <c r="G185">
        <f>VLOOKUP(Table_Collate[[#This Row],[Practice ID]],RM,4,FALSE)</f>
        <v>0</v>
      </c>
      <c r="H185">
        <f>_xlfn.IFNA(VLOOKUP(Table_Collate[[#This Row],[Current State]],Score,2,FALSE),0)</f>
        <v>0</v>
      </c>
    </row>
    <row r="186" spans="1:8">
      <c r="A186" t="s">
        <v>382</v>
      </c>
      <c r="B186">
        <v>0</v>
      </c>
      <c r="C186" t="s">
        <v>356</v>
      </c>
      <c r="D186" t="s">
        <v>1271</v>
      </c>
      <c r="E186">
        <v>3</v>
      </c>
      <c r="F186">
        <v>3</v>
      </c>
      <c r="G186">
        <f>VLOOKUP(Table_Collate[[#This Row],[Practice ID]],RM,4,FALSE)</f>
        <v>0</v>
      </c>
      <c r="H186">
        <f>_xlfn.IFNA(VLOOKUP(Table_Collate[[#This Row],[Current State]],Score,2,FALSE),0)</f>
        <v>0</v>
      </c>
    </row>
    <row r="187" spans="1:8">
      <c r="A187" t="s">
        <v>385</v>
      </c>
      <c r="B187">
        <v>0</v>
      </c>
      <c r="C187" t="s">
        <v>356</v>
      </c>
      <c r="D187" t="s">
        <v>1271</v>
      </c>
      <c r="E187">
        <v>3</v>
      </c>
      <c r="F187">
        <v>3</v>
      </c>
      <c r="G187">
        <f>VLOOKUP(Table_Collate[[#This Row],[Practice ID]],RM,4,FALSE)</f>
        <v>0</v>
      </c>
      <c r="H187">
        <f>_xlfn.IFNA(VLOOKUP(Table_Collate[[#This Row],[Current State]],Score,2,FALSE),0)</f>
        <v>0</v>
      </c>
    </row>
    <row r="188" spans="1:8">
      <c r="A188" t="s">
        <v>390</v>
      </c>
      <c r="B188">
        <v>1</v>
      </c>
      <c r="C188" t="s">
        <v>388</v>
      </c>
      <c r="D188" t="s">
        <v>1271</v>
      </c>
      <c r="E188">
        <v>2</v>
      </c>
      <c r="F188">
        <v>2</v>
      </c>
      <c r="G188">
        <f>VLOOKUP(Table_Collate[[#This Row],[Practice ID]],RM,4,FALSE)</f>
        <v>0</v>
      </c>
      <c r="H188">
        <f>_xlfn.IFNA(VLOOKUP(Table_Collate[[#This Row],[Current State]],Score,2,FALSE),0)</f>
        <v>0</v>
      </c>
    </row>
    <row r="189" spans="1:8">
      <c r="A189" t="s">
        <v>393</v>
      </c>
      <c r="B189">
        <v>1</v>
      </c>
      <c r="C189" t="s">
        <v>388</v>
      </c>
      <c r="D189" t="s">
        <v>1271</v>
      </c>
      <c r="E189">
        <v>2</v>
      </c>
      <c r="F189">
        <v>2</v>
      </c>
      <c r="G189">
        <f>VLOOKUP(Table_Collate[[#This Row],[Practice ID]],RM,4,FALSE)</f>
        <v>0</v>
      </c>
      <c r="H189">
        <f>_xlfn.IFNA(VLOOKUP(Table_Collate[[#This Row],[Current State]],Score,2,FALSE),0)</f>
        <v>0</v>
      </c>
    </row>
    <row r="190" spans="1:8">
      <c r="A190" t="s">
        <v>396</v>
      </c>
      <c r="B190">
        <v>1</v>
      </c>
      <c r="C190" t="s">
        <v>388</v>
      </c>
      <c r="D190" t="s">
        <v>1271</v>
      </c>
      <c r="E190">
        <v>2</v>
      </c>
      <c r="F190">
        <v>2</v>
      </c>
      <c r="G190">
        <f>VLOOKUP(Table_Collate[[#This Row],[Practice ID]],RM,4,FALSE)</f>
        <v>0</v>
      </c>
      <c r="H190">
        <f>_xlfn.IFNA(VLOOKUP(Table_Collate[[#This Row],[Current State]],Score,2,FALSE),0)</f>
        <v>0</v>
      </c>
    </row>
    <row r="191" spans="1:8">
      <c r="A191" t="s">
        <v>399</v>
      </c>
      <c r="B191">
        <v>1</v>
      </c>
      <c r="C191" t="s">
        <v>388</v>
      </c>
      <c r="D191" t="s">
        <v>1271</v>
      </c>
      <c r="E191">
        <v>3</v>
      </c>
      <c r="F191">
        <v>3</v>
      </c>
      <c r="G191">
        <f>VLOOKUP(Table_Collate[[#This Row],[Practice ID]],RM,4,FALSE)</f>
        <v>0</v>
      </c>
      <c r="H191">
        <f>_xlfn.IFNA(VLOOKUP(Table_Collate[[#This Row],[Current State]],Score,2,FALSE),0)</f>
        <v>0</v>
      </c>
    </row>
    <row r="192" spans="1:8">
      <c r="A192" t="s">
        <v>783</v>
      </c>
      <c r="B192">
        <v>0</v>
      </c>
      <c r="C192" t="s">
        <v>781</v>
      </c>
      <c r="D192" t="s">
        <v>1277</v>
      </c>
      <c r="E192">
        <v>1</v>
      </c>
      <c r="F192">
        <v>1</v>
      </c>
      <c r="G192">
        <f>VLOOKUP(Table_Collate[[#This Row],[Practice ID]],SA,4,FALSE)</f>
        <v>0</v>
      </c>
      <c r="H192">
        <f>_xlfn.IFNA(VLOOKUP(Table_Collate[[#This Row],[Current State]],Score,2,FALSE),0)</f>
        <v>0</v>
      </c>
    </row>
    <row r="193" spans="1:8">
      <c r="A193" t="s">
        <v>786</v>
      </c>
      <c r="B193">
        <v>0</v>
      </c>
      <c r="C193" t="s">
        <v>781</v>
      </c>
      <c r="D193" t="s">
        <v>1277</v>
      </c>
      <c r="E193">
        <v>2</v>
      </c>
      <c r="F193">
        <v>1</v>
      </c>
      <c r="G193">
        <f>VLOOKUP(Table_Collate[[#This Row],[Practice ID]],SA,4,FALSE)</f>
        <v>0</v>
      </c>
      <c r="H193">
        <f>_xlfn.IFNA(VLOOKUP(Table_Collate[[#This Row],[Current State]],Score,2,FALSE),0)</f>
        <v>0</v>
      </c>
    </row>
    <row r="194" spans="1:8">
      <c r="A194" t="s">
        <v>789</v>
      </c>
      <c r="B194">
        <v>0</v>
      </c>
      <c r="C194" t="s">
        <v>781</v>
      </c>
      <c r="D194" t="s">
        <v>1277</v>
      </c>
      <c r="E194">
        <v>2</v>
      </c>
      <c r="F194">
        <v>2</v>
      </c>
      <c r="G194">
        <f>VLOOKUP(Table_Collate[[#This Row],[Practice ID]],SA,4,FALSE)</f>
        <v>0</v>
      </c>
      <c r="H194">
        <f>_xlfn.IFNA(VLOOKUP(Table_Collate[[#This Row],[Current State]],Score,2,FALSE),0)</f>
        <v>0</v>
      </c>
    </row>
    <row r="195" spans="1:8">
      <c r="A195" t="s">
        <v>792</v>
      </c>
      <c r="B195">
        <v>0</v>
      </c>
      <c r="C195" t="s">
        <v>781</v>
      </c>
      <c r="D195" t="s">
        <v>1277</v>
      </c>
      <c r="E195">
        <v>3</v>
      </c>
      <c r="F195">
        <v>3</v>
      </c>
      <c r="G195">
        <f>VLOOKUP(Table_Collate[[#This Row],[Practice ID]],SA,4,FALSE)</f>
        <v>0</v>
      </c>
      <c r="H195">
        <f>_xlfn.IFNA(VLOOKUP(Table_Collate[[#This Row],[Current State]],Score,2,FALSE),0)</f>
        <v>0</v>
      </c>
    </row>
    <row r="196" spans="1:8">
      <c r="A196" t="s">
        <v>795</v>
      </c>
      <c r="B196">
        <v>0</v>
      </c>
      <c r="C196" t="s">
        <v>781</v>
      </c>
      <c r="D196" t="s">
        <v>1277</v>
      </c>
      <c r="E196">
        <v>3</v>
      </c>
      <c r="F196">
        <v>3</v>
      </c>
      <c r="G196">
        <f>VLOOKUP(Table_Collate[[#This Row],[Practice ID]],SA,4,FALSE)</f>
        <v>0</v>
      </c>
      <c r="H196">
        <f>_xlfn.IFNA(VLOOKUP(Table_Collate[[#This Row],[Current State]],Score,2,FALSE),0)</f>
        <v>0</v>
      </c>
    </row>
    <row r="197" spans="1:8">
      <c r="A197" t="s">
        <v>800</v>
      </c>
      <c r="B197">
        <v>0</v>
      </c>
      <c r="C197" t="s">
        <v>798</v>
      </c>
      <c r="D197" t="s">
        <v>1277</v>
      </c>
      <c r="E197">
        <v>1</v>
      </c>
      <c r="F197">
        <v>1</v>
      </c>
      <c r="G197">
        <f>VLOOKUP(Table_Collate[[#This Row],[Practice ID]],SA,4,FALSE)</f>
        <v>0</v>
      </c>
      <c r="H197">
        <f>_xlfn.IFNA(VLOOKUP(Table_Collate[[#This Row],[Current State]],Score,2,FALSE),0)</f>
        <v>0</v>
      </c>
    </row>
    <row r="198" spans="1:8">
      <c r="A198" t="s">
        <v>803</v>
      </c>
      <c r="B198">
        <v>0</v>
      </c>
      <c r="C198" t="s">
        <v>798</v>
      </c>
      <c r="D198" t="s">
        <v>1277</v>
      </c>
      <c r="E198">
        <v>1</v>
      </c>
      <c r="F198">
        <v>1</v>
      </c>
      <c r="G198">
        <f>VLOOKUP(Table_Collate[[#This Row],[Practice ID]],SA,4,FALSE)</f>
        <v>0</v>
      </c>
      <c r="H198">
        <f>_xlfn.IFNA(VLOOKUP(Table_Collate[[#This Row],[Current State]],Score,2,FALSE),0)</f>
        <v>0</v>
      </c>
    </row>
    <row r="199" spans="1:8">
      <c r="A199" t="s">
        <v>806</v>
      </c>
      <c r="B199">
        <v>0</v>
      </c>
      <c r="C199" t="s">
        <v>798</v>
      </c>
      <c r="D199" t="s">
        <v>1277</v>
      </c>
      <c r="E199">
        <v>2</v>
      </c>
      <c r="F199">
        <v>2</v>
      </c>
      <c r="G199">
        <f>VLOOKUP(Table_Collate[[#This Row],[Practice ID]],SA,4,FALSE)</f>
        <v>0</v>
      </c>
      <c r="H199">
        <f>_xlfn.IFNA(VLOOKUP(Table_Collate[[#This Row],[Current State]],Score,2,FALSE),0)</f>
        <v>0</v>
      </c>
    </row>
    <row r="200" spans="1:8">
      <c r="A200" t="s">
        <v>809</v>
      </c>
      <c r="B200">
        <v>0</v>
      </c>
      <c r="C200" t="s">
        <v>798</v>
      </c>
      <c r="D200" t="s">
        <v>1277</v>
      </c>
      <c r="E200">
        <v>2</v>
      </c>
      <c r="F200">
        <v>1</v>
      </c>
      <c r="G200">
        <f>VLOOKUP(Table_Collate[[#This Row],[Practice ID]],SA,4,FALSE)</f>
        <v>0</v>
      </c>
      <c r="H200">
        <f>_xlfn.IFNA(VLOOKUP(Table_Collate[[#This Row],[Current State]],Score,2,FALSE),0)</f>
        <v>0</v>
      </c>
    </row>
    <row r="201" spans="1:8">
      <c r="A201" t="s">
        <v>812</v>
      </c>
      <c r="B201">
        <v>0</v>
      </c>
      <c r="C201" t="s">
        <v>798</v>
      </c>
      <c r="D201" t="s">
        <v>1277</v>
      </c>
      <c r="E201">
        <v>2</v>
      </c>
      <c r="F201">
        <v>2</v>
      </c>
      <c r="G201">
        <f>VLOOKUP(Table_Collate[[#This Row],[Practice ID]],SA,4,FALSE)</f>
        <v>0</v>
      </c>
      <c r="H201">
        <f>_xlfn.IFNA(VLOOKUP(Table_Collate[[#This Row],[Current State]],Score,2,FALSE),0)</f>
        <v>0</v>
      </c>
    </row>
    <row r="202" spans="1:8">
      <c r="A202" t="s">
        <v>815</v>
      </c>
      <c r="B202">
        <v>0</v>
      </c>
      <c r="C202" t="s">
        <v>798</v>
      </c>
      <c r="D202" t="s">
        <v>1277</v>
      </c>
      <c r="E202">
        <v>2</v>
      </c>
      <c r="F202">
        <v>2</v>
      </c>
      <c r="G202">
        <f>VLOOKUP(Table_Collate[[#This Row],[Practice ID]],SA,4,FALSE)</f>
        <v>0</v>
      </c>
      <c r="H202">
        <f>_xlfn.IFNA(VLOOKUP(Table_Collate[[#This Row],[Current State]],Score,2,FALSE),0)</f>
        <v>0</v>
      </c>
    </row>
    <row r="203" spans="1:8">
      <c r="A203" t="s">
        <v>818</v>
      </c>
      <c r="B203">
        <v>0</v>
      </c>
      <c r="C203" t="s">
        <v>798</v>
      </c>
      <c r="D203" t="s">
        <v>1277</v>
      </c>
      <c r="E203">
        <v>3</v>
      </c>
      <c r="F203">
        <v>2</v>
      </c>
      <c r="G203">
        <f>VLOOKUP(Table_Collate[[#This Row],[Practice ID]],SA,4,FALSE)</f>
        <v>0</v>
      </c>
      <c r="H203">
        <f>_xlfn.IFNA(VLOOKUP(Table_Collate[[#This Row],[Current State]],Score,2,FALSE),0)</f>
        <v>0</v>
      </c>
    </row>
    <row r="204" spans="1:8">
      <c r="A204" t="s">
        <v>821</v>
      </c>
      <c r="B204">
        <v>0</v>
      </c>
      <c r="C204" t="s">
        <v>798</v>
      </c>
      <c r="D204" t="s">
        <v>1277</v>
      </c>
      <c r="E204">
        <v>3</v>
      </c>
      <c r="F204">
        <v>3</v>
      </c>
      <c r="G204">
        <f>VLOOKUP(Table_Collate[[#This Row],[Practice ID]],SA,4,FALSE)</f>
        <v>0</v>
      </c>
      <c r="H204">
        <f>_xlfn.IFNA(VLOOKUP(Table_Collate[[#This Row],[Current State]],Score,2,FALSE),0)</f>
        <v>0</v>
      </c>
    </row>
    <row r="205" spans="1:8">
      <c r="A205" t="s">
        <v>824</v>
      </c>
      <c r="B205">
        <v>0</v>
      </c>
      <c r="C205" t="s">
        <v>798</v>
      </c>
      <c r="D205" t="s">
        <v>1277</v>
      </c>
      <c r="E205">
        <v>3</v>
      </c>
      <c r="F205">
        <v>3</v>
      </c>
      <c r="G205">
        <f>VLOOKUP(Table_Collate[[#This Row],[Practice ID]],SA,4,FALSE)</f>
        <v>0</v>
      </c>
      <c r="H205">
        <f>_xlfn.IFNA(VLOOKUP(Table_Collate[[#This Row],[Current State]],Score,2,FALSE),0)</f>
        <v>0</v>
      </c>
    </row>
    <row r="206" spans="1:8">
      <c r="A206" t="s">
        <v>827</v>
      </c>
      <c r="B206">
        <v>0</v>
      </c>
      <c r="C206" t="s">
        <v>798</v>
      </c>
      <c r="D206" t="s">
        <v>1277</v>
      </c>
      <c r="E206">
        <v>3</v>
      </c>
      <c r="F206">
        <v>3</v>
      </c>
      <c r="G206">
        <f>VLOOKUP(Table_Collate[[#This Row],[Practice ID]],SA,4,FALSE)</f>
        <v>0</v>
      </c>
      <c r="H206">
        <f>_xlfn.IFNA(VLOOKUP(Table_Collate[[#This Row],[Current State]],Score,2,FALSE),0)</f>
        <v>0</v>
      </c>
    </row>
    <row r="207" spans="1:8">
      <c r="A207" t="s">
        <v>830</v>
      </c>
      <c r="B207">
        <v>0</v>
      </c>
      <c r="C207" t="s">
        <v>798</v>
      </c>
      <c r="D207" t="s">
        <v>1277</v>
      </c>
      <c r="E207">
        <v>3</v>
      </c>
      <c r="F207">
        <v>3</v>
      </c>
      <c r="G207">
        <f>VLOOKUP(Table_Collate[[#This Row],[Practice ID]],SA,4,FALSE)</f>
        <v>0</v>
      </c>
      <c r="H207">
        <f>_xlfn.IFNA(VLOOKUP(Table_Collate[[#This Row],[Current State]],Score,2,FALSE),0)</f>
        <v>0</v>
      </c>
    </row>
    <row r="208" spans="1:8">
      <c r="A208" t="s">
        <v>835</v>
      </c>
      <c r="B208">
        <v>0</v>
      </c>
      <c r="C208" t="s">
        <v>833</v>
      </c>
      <c r="D208" t="s">
        <v>1277</v>
      </c>
      <c r="E208">
        <v>2</v>
      </c>
      <c r="F208">
        <v>1</v>
      </c>
      <c r="G208">
        <f>VLOOKUP(Table_Collate[[#This Row],[Practice ID]],SA,4,FALSE)</f>
        <v>0</v>
      </c>
      <c r="H208">
        <f>_xlfn.IFNA(VLOOKUP(Table_Collate[[#This Row],[Current State]],Score,2,FALSE),0)</f>
        <v>0</v>
      </c>
    </row>
    <row r="209" spans="1:8">
      <c r="A209" t="s">
        <v>838</v>
      </c>
      <c r="B209">
        <v>0</v>
      </c>
      <c r="C209" t="s">
        <v>833</v>
      </c>
      <c r="D209" t="s">
        <v>1277</v>
      </c>
      <c r="E209">
        <v>2</v>
      </c>
      <c r="F209">
        <v>2</v>
      </c>
      <c r="G209">
        <f>VLOOKUP(Table_Collate[[#This Row],[Practice ID]],SA,4,FALSE)</f>
        <v>0</v>
      </c>
      <c r="H209">
        <f>_xlfn.IFNA(VLOOKUP(Table_Collate[[#This Row],[Current State]],Score,2,FALSE),0)</f>
        <v>0</v>
      </c>
    </row>
    <row r="210" spans="1:8">
      <c r="A210" t="s">
        <v>841</v>
      </c>
      <c r="B210">
        <v>0</v>
      </c>
      <c r="C210" t="s">
        <v>833</v>
      </c>
      <c r="D210" t="s">
        <v>1277</v>
      </c>
      <c r="E210">
        <v>2</v>
      </c>
      <c r="F210">
        <v>2</v>
      </c>
      <c r="G210">
        <f>VLOOKUP(Table_Collate[[#This Row],[Practice ID]],SA,4,FALSE)</f>
        <v>0</v>
      </c>
      <c r="H210">
        <f>_xlfn.IFNA(VLOOKUP(Table_Collate[[#This Row],[Current State]],Score,2,FALSE),0)</f>
        <v>0</v>
      </c>
    </row>
    <row r="211" spans="1:8">
      <c r="A211" t="s">
        <v>844</v>
      </c>
      <c r="B211">
        <v>0</v>
      </c>
      <c r="C211" t="s">
        <v>833</v>
      </c>
      <c r="D211" t="s">
        <v>1277</v>
      </c>
      <c r="E211">
        <v>3</v>
      </c>
      <c r="F211">
        <v>2</v>
      </c>
      <c r="G211">
        <f>VLOOKUP(Table_Collate[[#This Row],[Practice ID]],SA,4,FALSE)</f>
        <v>0</v>
      </c>
      <c r="H211">
        <f>_xlfn.IFNA(VLOOKUP(Table_Collate[[#This Row],[Current State]],Score,2,FALSE),0)</f>
        <v>0</v>
      </c>
    </row>
    <row r="212" spans="1:8">
      <c r="A212" t="s">
        <v>847</v>
      </c>
      <c r="B212">
        <v>0</v>
      </c>
      <c r="C212" t="s">
        <v>833</v>
      </c>
      <c r="D212" t="s">
        <v>1277</v>
      </c>
      <c r="E212">
        <v>3</v>
      </c>
      <c r="F212">
        <v>3</v>
      </c>
      <c r="G212">
        <f>VLOOKUP(Table_Collate[[#This Row],[Practice ID]],SA,4,FALSE)</f>
        <v>0</v>
      </c>
      <c r="H212">
        <f>_xlfn.IFNA(VLOOKUP(Table_Collate[[#This Row],[Current State]],Score,2,FALSE),0)</f>
        <v>0</v>
      </c>
    </row>
    <row r="213" spans="1:8">
      <c r="A213" t="s">
        <v>850</v>
      </c>
      <c r="B213">
        <v>0</v>
      </c>
      <c r="C213" t="s">
        <v>833</v>
      </c>
      <c r="D213" t="s">
        <v>1277</v>
      </c>
      <c r="E213">
        <v>3</v>
      </c>
      <c r="F213">
        <v>3</v>
      </c>
      <c r="G213">
        <f>VLOOKUP(Table_Collate[[#This Row],[Practice ID]],SA,4,FALSE)</f>
        <v>0</v>
      </c>
      <c r="H213">
        <f>_xlfn.IFNA(VLOOKUP(Table_Collate[[#This Row],[Current State]],Score,2,FALSE),0)</f>
        <v>0</v>
      </c>
    </row>
    <row r="214" spans="1:8">
      <c r="A214" t="s">
        <v>855</v>
      </c>
      <c r="B214">
        <v>1</v>
      </c>
      <c r="C214" t="s">
        <v>853</v>
      </c>
      <c r="D214" t="s">
        <v>1277</v>
      </c>
      <c r="E214">
        <v>2</v>
      </c>
      <c r="F214">
        <v>2</v>
      </c>
      <c r="G214">
        <f>VLOOKUP(Table_Collate[[#This Row],[Practice ID]],SA,4,FALSE)</f>
        <v>0</v>
      </c>
      <c r="H214">
        <f>_xlfn.IFNA(VLOOKUP(Table_Collate[[#This Row],[Current State]],Score,2,FALSE),0)</f>
        <v>0</v>
      </c>
    </row>
    <row r="215" spans="1:8">
      <c r="A215" t="s">
        <v>858</v>
      </c>
      <c r="B215">
        <v>1</v>
      </c>
      <c r="C215" t="s">
        <v>853</v>
      </c>
      <c r="D215" t="s">
        <v>1277</v>
      </c>
      <c r="E215">
        <v>1</v>
      </c>
      <c r="F215">
        <v>1</v>
      </c>
      <c r="G215">
        <f>VLOOKUP(Table_Collate[[#This Row],[Practice ID]],SA,4,FALSE)</f>
        <v>0</v>
      </c>
      <c r="H215">
        <f>_xlfn.IFNA(VLOOKUP(Table_Collate[[#This Row],[Current State]],Score,2,FALSE),0)</f>
        <v>0</v>
      </c>
    </row>
    <row r="216" spans="1:8">
      <c r="A216" t="s">
        <v>861</v>
      </c>
      <c r="B216">
        <v>1</v>
      </c>
      <c r="C216" t="s">
        <v>853</v>
      </c>
      <c r="D216" t="s">
        <v>1277</v>
      </c>
      <c r="E216">
        <v>2</v>
      </c>
      <c r="F216">
        <v>2</v>
      </c>
      <c r="G216">
        <f>VLOOKUP(Table_Collate[[#This Row],[Practice ID]],SA,4,FALSE)</f>
        <v>0</v>
      </c>
      <c r="H216">
        <f>_xlfn.IFNA(VLOOKUP(Table_Collate[[#This Row],[Current State]],Score,2,FALSE),0)</f>
        <v>0</v>
      </c>
    </row>
    <row r="217" spans="1:8">
      <c r="A217" t="s">
        <v>864</v>
      </c>
      <c r="B217">
        <v>1</v>
      </c>
      <c r="C217" t="s">
        <v>853</v>
      </c>
      <c r="D217" t="s">
        <v>1277</v>
      </c>
      <c r="E217">
        <v>2</v>
      </c>
      <c r="F217">
        <v>2</v>
      </c>
      <c r="G217">
        <f>VLOOKUP(Table_Collate[[#This Row],[Practice ID]],SA,4,FALSE)</f>
        <v>0</v>
      </c>
      <c r="H217">
        <f>_xlfn.IFNA(VLOOKUP(Table_Collate[[#This Row],[Current State]],Score,2,FALSE),0)</f>
        <v>0</v>
      </c>
    </row>
    <row r="218" spans="1:8">
      <c r="A218" t="s">
        <v>867</v>
      </c>
      <c r="B218">
        <v>1</v>
      </c>
      <c r="C218" t="s">
        <v>853</v>
      </c>
      <c r="D218" t="s">
        <v>1277</v>
      </c>
      <c r="E218">
        <v>2</v>
      </c>
      <c r="F218">
        <v>2</v>
      </c>
      <c r="G218">
        <f>VLOOKUP(Table_Collate[[#This Row],[Practice ID]],SA,4,FALSE)</f>
        <v>0</v>
      </c>
      <c r="H218">
        <f>_xlfn.IFNA(VLOOKUP(Table_Collate[[#This Row],[Current State]],Score,2,FALSE),0)</f>
        <v>0</v>
      </c>
    </row>
    <row r="219" spans="1:8">
      <c r="A219" t="s">
        <v>870</v>
      </c>
      <c r="B219">
        <v>1</v>
      </c>
      <c r="C219" t="s">
        <v>853</v>
      </c>
      <c r="D219" t="s">
        <v>1277</v>
      </c>
      <c r="E219">
        <v>2</v>
      </c>
      <c r="F219">
        <v>2</v>
      </c>
      <c r="G219">
        <f>VLOOKUP(Table_Collate[[#This Row],[Practice ID]],SA,4,FALSE)</f>
        <v>0</v>
      </c>
      <c r="H219">
        <f>_xlfn.IFNA(VLOOKUP(Table_Collate[[#This Row],[Current State]],Score,2,FALSE),0)</f>
        <v>0</v>
      </c>
    </row>
    <row r="220" spans="1:8">
      <c r="A220" t="s">
        <v>873</v>
      </c>
      <c r="B220">
        <v>1</v>
      </c>
      <c r="C220" t="s">
        <v>853</v>
      </c>
      <c r="D220" t="s">
        <v>1277</v>
      </c>
      <c r="E220">
        <v>2</v>
      </c>
      <c r="F220">
        <v>1</v>
      </c>
      <c r="G220">
        <f>VLOOKUP(Table_Collate[[#This Row],[Practice ID]],SA,4,FALSE)</f>
        <v>0</v>
      </c>
      <c r="H220">
        <f>_xlfn.IFNA(VLOOKUP(Table_Collate[[#This Row],[Current State]],Score,2,FALSE),0)</f>
        <v>0</v>
      </c>
    </row>
    <row r="221" spans="1:8">
      <c r="A221" t="s">
        <v>876</v>
      </c>
      <c r="B221">
        <v>1</v>
      </c>
      <c r="C221" t="s">
        <v>853</v>
      </c>
      <c r="D221" t="s">
        <v>1277</v>
      </c>
      <c r="E221">
        <v>2</v>
      </c>
      <c r="F221">
        <v>1</v>
      </c>
      <c r="G221">
        <f>VLOOKUP(Table_Collate[[#This Row],[Practice ID]],SA,4,FALSE)</f>
        <v>0</v>
      </c>
      <c r="H221">
        <f>_xlfn.IFNA(VLOOKUP(Table_Collate[[#This Row],[Current State]],Score,2,FALSE),0)</f>
        <v>0</v>
      </c>
    </row>
    <row r="222" spans="1:8">
      <c r="A222" t="s">
        <v>879</v>
      </c>
      <c r="B222">
        <v>1</v>
      </c>
      <c r="C222" t="s">
        <v>853</v>
      </c>
      <c r="D222" t="s">
        <v>1277</v>
      </c>
      <c r="E222">
        <v>2</v>
      </c>
      <c r="F222">
        <v>2</v>
      </c>
      <c r="G222">
        <f>VLOOKUP(Table_Collate[[#This Row],[Practice ID]],SA,4,FALSE)</f>
        <v>0</v>
      </c>
      <c r="H222">
        <f>_xlfn.IFNA(VLOOKUP(Table_Collate[[#This Row],[Current State]],Score,2,FALSE),0)</f>
        <v>0</v>
      </c>
    </row>
    <row r="223" spans="1:8">
      <c r="A223" t="s">
        <v>882</v>
      </c>
      <c r="B223">
        <v>1</v>
      </c>
      <c r="C223" t="s">
        <v>853</v>
      </c>
      <c r="D223" t="s">
        <v>1277</v>
      </c>
      <c r="E223">
        <v>3</v>
      </c>
      <c r="F223">
        <v>3</v>
      </c>
      <c r="G223">
        <f>VLOOKUP(Table_Collate[[#This Row],[Practice ID]],SA,4,FALSE)</f>
        <v>0</v>
      </c>
      <c r="H223">
        <f>_xlfn.IFNA(VLOOKUP(Table_Collate[[#This Row],[Current State]],Score,2,FALSE),0)</f>
        <v>0</v>
      </c>
    </row>
    <row r="224" spans="1:8">
      <c r="A224" t="s">
        <v>885</v>
      </c>
      <c r="B224">
        <v>1</v>
      </c>
      <c r="C224" t="s">
        <v>853</v>
      </c>
      <c r="D224" t="s">
        <v>1277</v>
      </c>
      <c r="E224">
        <v>3</v>
      </c>
      <c r="F224">
        <v>2</v>
      </c>
      <c r="G224">
        <f>VLOOKUP(Table_Collate[[#This Row],[Practice ID]],SA,4,FALSE)</f>
        <v>0</v>
      </c>
      <c r="H224">
        <f>_xlfn.IFNA(VLOOKUP(Table_Collate[[#This Row],[Current State]],Score,2,FALSE),0)</f>
        <v>0</v>
      </c>
    </row>
    <row r="225" spans="1:8">
      <c r="A225" t="s">
        <v>696</v>
      </c>
      <c r="B225">
        <v>0</v>
      </c>
      <c r="C225" t="s">
        <v>694</v>
      </c>
      <c r="D225" t="s">
        <v>1276</v>
      </c>
      <c r="E225">
        <v>1</v>
      </c>
      <c r="F225">
        <v>1</v>
      </c>
      <c r="G225">
        <f>VLOOKUP(Table_Collate[[#This Row],[Practice ID]],TVM,4,FALSE)</f>
        <v>0</v>
      </c>
      <c r="H225">
        <f>_xlfn.IFNA(VLOOKUP(Table_Collate[[#This Row],[Current State]],Score,2,FALSE),0)</f>
        <v>0</v>
      </c>
    </row>
    <row r="226" spans="1:8">
      <c r="A226" t="s">
        <v>699</v>
      </c>
      <c r="B226">
        <v>0</v>
      </c>
      <c r="C226" t="s">
        <v>694</v>
      </c>
      <c r="D226" t="s">
        <v>1276</v>
      </c>
      <c r="E226">
        <v>1</v>
      </c>
      <c r="F226">
        <v>1</v>
      </c>
      <c r="G226">
        <f>VLOOKUP(Table_Collate[[#This Row],[Practice ID]],TVM,4,FALSE)</f>
        <v>0</v>
      </c>
      <c r="H226">
        <f>_xlfn.IFNA(VLOOKUP(Table_Collate[[#This Row],[Current State]],Score,2,FALSE),0)</f>
        <v>0</v>
      </c>
    </row>
    <row r="227" spans="1:8">
      <c r="A227" t="s">
        <v>702</v>
      </c>
      <c r="B227">
        <v>0</v>
      </c>
      <c r="C227" t="s">
        <v>694</v>
      </c>
      <c r="D227" t="s">
        <v>1276</v>
      </c>
      <c r="E227">
        <v>1</v>
      </c>
      <c r="F227">
        <v>1</v>
      </c>
      <c r="G227">
        <f>VLOOKUP(Table_Collate[[#This Row],[Practice ID]],TVM,4,FALSE)</f>
        <v>0</v>
      </c>
      <c r="H227">
        <f>_xlfn.IFNA(VLOOKUP(Table_Collate[[#This Row],[Current State]],Score,2,FALSE),0)</f>
        <v>0</v>
      </c>
    </row>
    <row r="228" spans="1:8">
      <c r="A228" t="s">
        <v>705</v>
      </c>
      <c r="B228">
        <v>0</v>
      </c>
      <c r="C228" t="s">
        <v>694</v>
      </c>
      <c r="D228" t="s">
        <v>1276</v>
      </c>
      <c r="E228">
        <v>2</v>
      </c>
      <c r="F228">
        <v>2</v>
      </c>
      <c r="G228">
        <f>VLOOKUP(Table_Collate[[#This Row],[Practice ID]],TVM,4,FALSE)</f>
        <v>0</v>
      </c>
      <c r="H228">
        <f>_xlfn.IFNA(VLOOKUP(Table_Collate[[#This Row],[Current State]],Score,2,FALSE),0)</f>
        <v>0</v>
      </c>
    </row>
    <row r="229" spans="1:8">
      <c r="A229" t="s">
        <v>708</v>
      </c>
      <c r="B229">
        <v>0</v>
      </c>
      <c r="C229" t="s">
        <v>694</v>
      </c>
      <c r="D229" t="s">
        <v>1276</v>
      </c>
      <c r="E229">
        <v>2</v>
      </c>
      <c r="F229">
        <v>2</v>
      </c>
      <c r="G229">
        <f>VLOOKUP(Table_Collate[[#This Row],[Practice ID]],TVM,4,FALSE)</f>
        <v>0</v>
      </c>
      <c r="H229">
        <f>_xlfn.IFNA(VLOOKUP(Table_Collate[[#This Row],[Current State]],Score,2,FALSE),0)</f>
        <v>0</v>
      </c>
    </row>
    <row r="230" spans="1:8">
      <c r="A230" t="s">
        <v>711</v>
      </c>
      <c r="B230">
        <v>0</v>
      </c>
      <c r="C230" t="s">
        <v>694</v>
      </c>
      <c r="D230" t="s">
        <v>1276</v>
      </c>
      <c r="E230">
        <v>2</v>
      </c>
      <c r="F230">
        <v>2</v>
      </c>
      <c r="G230">
        <f>VLOOKUP(Table_Collate[[#This Row],[Practice ID]],TVM,4,FALSE)</f>
        <v>0</v>
      </c>
      <c r="H230">
        <f>_xlfn.IFNA(VLOOKUP(Table_Collate[[#This Row],[Current State]],Score,2,FALSE),0)</f>
        <v>0</v>
      </c>
    </row>
    <row r="231" spans="1:8">
      <c r="A231" t="s">
        <v>714</v>
      </c>
      <c r="B231">
        <v>0</v>
      </c>
      <c r="C231" t="s">
        <v>694</v>
      </c>
      <c r="D231" t="s">
        <v>1276</v>
      </c>
      <c r="E231">
        <v>2</v>
      </c>
      <c r="F231">
        <v>2</v>
      </c>
      <c r="G231">
        <f>VLOOKUP(Table_Collate[[#This Row],[Practice ID]],TVM,4,FALSE)</f>
        <v>0</v>
      </c>
      <c r="H231">
        <f>_xlfn.IFNA(VLOOKUP(Table_Collate[[#This Row],[Current State]],Score,2,FALSE),0)</f>
        <v>0</v>
      </c>
    </row>
    <row r="232" spans="1:8">
      <c r="A232" t="s">
        <v>717</v>
      </c>
      <c r="B232">
        <v>0</v>
      </c>
      <c r="C232" t="s">
        <v>694</v>
      </c>
      <c r="D232" t="s">
        <v>1276</v>
      </c>
      <c r="E232">
        <v>3</v>
      </c>
      <c r="F232">
        <v>3</v>
      </c>
      <c r="G232">
        <f>VLOOKUP(Table_Collate[[#This Row],[Practice ID]],TVM,4,FALSE)</f>
        <v>0</v>
      </c>
      <c r="H232">
        <f>_xlfn.IFNA(VLOOKUP(Table_Collate[[#This Row],[Current State]],Score,2,FALSE),0)</f>
        <v>0</v>
      </c>
    </row>
    <row r="233" spans="1:8">
      <c r="A233" t="s">
        <v>720</v>
      </c>
      <c r="B233">
        <v>0</v>
      </c>
      <c r="C233" t="s">
        <v>694</v>
      </c>
      <c r="D233" t="s">
        <v>1276</v>
      </c>
      <c r="E233">
        <v>3</v>
      </c>
      <c r="F233">
        <v>3</v>
      </c>
      <c r="G233">
        <f>VLOOKUP(Table_Collate[[#This Row],[Practice ID]],TVM,4,FALSE)</f>
        <v>0</v>
      </c>
      <c r="H233">
        <f>_xlfn.IFNA(VLOOKUP(Table_Collate[[#This Row],[Current State]],Score,2,FALSE),0)</f>
        <v>0</v>
      </c>
    </row>
    <row r="234" spans="1:8">
      <c r="A234" t="s">
        <v>723</v>
      </c>
      <c r="B234">
        <v>0</v>
      </c>
      <c r="C234" t="s">
        <v>694</v>
      </c>
      <c r="D234" t="s">
        <v>1276</v>
      </c>
      <c r="E234">
        <v>3</v>
      </c>
      <c r="F234">
        <v>3</v>
      </c>
      <c r="G234">
        <f>VLOOKUP(Table_Collate[[#This Row],[Practice ID]],TVM,4,FALSE)</f>
        <v>0</v>
      </c>
      <c r="H234">
        <f>_xlfn.IFNA(VLOOKUP(Table_Collate[[#This Row],[Current State]],Score,2,FALSE),0)</f>
        <v>0</v>
      </c>
    </row>
    <row r="235" spans="1:8">
      <c r="A235" t="s">
        <v>728</v>
      </c>
      <c r="B235">
        <v>0</v>
      </c>
      <c r="C235" t="s">
        <v>726</v>
      </c>
      <c r="D235" t="s">
        <v>1276</v>
      </c>
      <c r="E235">
        <v>1</v>
      </c>
      <c r="F235">
        <v>1</v>
      </c>
      <c r="G235">
        <f>VLOOKUP(Table_Collate[[#This Row],[Practice ID]],TVM,4,FALSE)</f>
        <v>0</v>
      </c>
      <c r="H235">
        <f>_xlfn.IFNA(VLOOKUP(Table_Collate[[#This Row],[Current State]],Score,2,FALSE),0)</f>
        <v>0</v>
      </c>
    </row>
    <row r="236" spans="1:8">
      <c r="A236" t="s">
        <v>731</v>
      </c>
      <c r="B236">
        <v>0</v>
      </c>
      <c r="C236" t="s">
        <v>726</v>
      </c>
      <c r="D236" t="s">
        <v>1276</v>
      </c>
      <c r="E236">
        <v>1</v>
      </c>
      <c r="F236">
        <v>1</v>
      </c>
      <c r="G236">
        <f>VLOOKUP(Table_Collate[[#This Row],[Practice ID]],TVM,4,FALSE)</f>
        <v>0</v>
      </c>
      <c r="H236">
        <f>_xlfn.IFNA(VLOOKUP(Table_Collate[[#This Row],[Current State]],Score,2,FALSE),0)</f>
        <v>0</v>
      </c>
    </row>
    <row r="237" spans="1:8">
      <c r="A237" t="s">
        <v>734</v>
      </c>
      <c r="B237">
        <v>0</v>
      </c>
      <c r="C237" t="s">
        <v>726</v>
      </c>
      <c r="D237" t="s">
        <v>1276</v>
      </c>
      <c r="E237">
        <v>1</v>
      </c>
      <c r="F237">
        <v>1</v>
      </c>
      <c r="G237">
        <f>VLOOKUP(Table_Collate[[#This Row],[Practice ID]],TVM,4,FALSE)</f>
        <v>0</v>
      </c>
      <c r="H237">
        <f>_xlfn.IFNA(VLOOKUP(Table_Collate[[#This Row],[Current State]],Score,2,FALSE),0)</f>
        <v>0</v>
      </c>
    </row>
    <row r="238" spans="1:8">
      <c r="A238" t="s">
        <v>737</v>
      </c>
      <c r="B238">
        <v>0</v>
      </c>
      <c r="C238" t="s">
        <v>726</v>
      </c>
      <c r="D238" t="s">
        <v>1276</v>
      </c>
      <c r="E238">
        <v>2</v>
      </c>
      <c r="F238">
        <v>2</v>
      </c>
      <c r="G238">
        <f>VLOOKUP(Table_Collate[[#This Row],[Practice ID]],TVM,4,FALSE)</f>
        <v>0</v>
      </c>
      <c r="H238">
        <f>_xlfn.IFNA(VLOOKUP(Table_Collate[[#This Row],[Current State]],Score,2,FALSE),0)</f>
        <v>0</v>
      </c>
    </row>
    <row r="239" spans="1:8">
      <c r="A239" t="s">
        <v>740</v>
      </c>
      <c r="B239">
        <v>0</v>
      </c>
      <c r="C239" t="s">
        <v>726</v>
      </c>
      <c r="D239" t="s">
        <v>1276</v>
      </c>
      <c r="E239">
        <v>2</v>
      </c>
      <c r="F239">
        <v>2</v>
      </c>
      <c r="G239">
        <f>VLOOKUP(Table_Collate[[#This Row],[Practice ID]],TVM,4,FALSE)</f>
        <v>0</v>
      </c>
      <c r="H239">
        <f>_xlfn.IFNA(VLOOKUP(Table_Collate[[#This Row],[Current State]],Score,2,FALSE),0)</f>
        <v>0</v>
      </c>
    </row>
    <row r="240" spans="1:8">
      <c r="A240" t="s">
        <v>743</v>
      </c>
      <c r="B240">
        <v>0</v>
      </c>
      <c r="C240" t="s">
        <v>726</v>
      </c>
      <c r="D240" t="s">
        <v>1276</v>
      </c>
      <c r="E240">
        <v>2</v>
      </c>
      <c r="F240">
        <v>2</v>
      </c>
      <c r="G240">
        <f>VLOOKUP(Table_Collate[[#This Row],[Practice ID]],TVM,4,FALSE)</f>
        <v>0</v>
      </c>
      <c r="H240">
        <f>_xlfn.IFNA(VLOOKUP(Table_Collate[[#This Row],[Current State]],Score,2,FALSE),0)</f>
        <v>0</v>
      </c>
    </row>
    <row r="241" spans="1:8">
      <c r="A241" t="s">
        <v>746</v>
      </c>
      <c r="B241">
        <v>0</v>
      </c>
      <c r="C241" t="s">
        <v>726</v>
      </c>
      <c r="D241" t="s">
        <v>1276</v>
      </c>
      <c r="E241">
        <v>2</v>
      </c>
      <c r="F241">
        <v>1</v>
      </c>
      <c r="G241">
        <f>VLOOKUP(Table_Collate[[#This Row],[Practice ID]],TVM,4,FALSE)</f>
        <v>0</v>
      </c>
      <c r="H241">
        <f>_xlfn.IFNA(VLOOKUP(Table_Collate[[#This Row],[Current State]],Score,2,FALSE),0)</f>
        <v>0</v>
      </c>
    </row>
    <row r="242" spans="1:8">
      <c r="A242" t="s">
        <v>749</v>
      </c>
      <c r="B242">
        <v>0</v>
      </c>
      <c r="C242" t="s">
        <v>726</v>
      </c>
      <c r="D242" t="s">
        <v>1276</v>
      </c>
      <c r="E242">
        <v>2</v>
      </c>
      <c r="F242">
        <v>1</v>
      </c>
      <c r="G242">
        <f>VLOOKUP(Table_Collate[[#This Row],[Practice ID]],TVM,4,FALSE)</f>
        <v>0</v>
      </c>
      <c r="H242">
        <f>_xlfn.IFNA(VLOOKUP(Table_Collate[[#This Row],[Current State]],Score,2,FALSE),0)</f>
        <v>0</v>
      </c>
    </row>
    <row r="243" spans="1:8">
      <c r="A243" t="s">
        <v>752</v>
      </c>
      <c r="B243">
        <v>0</v>
      </c>
      <c r="C243" t="s">
        <v>726</v>
      </c>
      <c r="D243" t="s">
        <v>1276</v>
      </c>
      <c r="E243">
        <v>3</v>
      </c>
      <c r="F243">
        <v>3</v>
      </c>
      <c r="G243">
        <f>VLOOKUP(Table_Collate[[#This Row],[Practice ID]],TVM,4,FALSE)</f>
        <v>0</v>
      </c>
      <c r="H243">
        <f>_xlfn.IFNA(VLOOKUP(Table_Collate[[#This Row],[Current State]],Score,2,FALSE),0)</f>
        <v>0</v>
      </c>
    </row>
    <row r="244" spans="1:8">
      <c r="A244" t="s">
        <v>755</v>
      </c>
      <c r="B244">
        <v>0</v>
      </c>
      <c r="C244" t="s">
        <v>726</v>
      </c>
      <c r="D244" t="s">
        <v>1276</v>
      </c>
      <c r="E244">
        <v>3</v>
      </c>
      <c r="F244">
        <v>3</v>
      </c>
      <c r="G244">
        <f>VLOOKUP(Table_Collate[[#This Row],[Practice ID]],TVM,4,FALSE)</f>
        <v>0</v>
      </c>
      <c r="H244">
        <f>_xlfn.IFNA(VLOOKUP(Table_Collate[[#This Row],[Current State]],Score,2,FALSE),0)</f>
        <v>0</v>
      </c>
    </row>
    <row r="245" spans="1:8">
      <c r="A245" t="s">
        <v>758</v>
      </c>
      <c r="B245">
        <v>0</v>
      </c>
      <c r="C245" t="s">
        <v>726</v>
      </c>
      <c r="D245" t="s">
        <v>1276</v>
      </c>
      <c r="E245">
        <v>3</v>
      </c>
      <c r="F245">
        <v>3</v>
      </c>
      <c r="G245">
        <f>VLOOKUP(Table_Collate[[#This Row],[Practice ID]],TVM,4,FALSE)</f>
        <v>0</v>
      </c>
      <c r="H245">
        <f>_xlfn.IFNA(VLOOKUP(Table_Collate[[#This Row],[Current State]],Score,2,FALSE),0)</f>
        <v>0</v>
      </c>
    </row>
    <row r="246" spans="1:8">
      <c r="A246" t="s">
        <v>761</v>
      </c>
      <c r="B246">
        <v>0</v>
      </c>
      <c r="C246" t="s">
        <v>726</v>
      </c>
      <c r="D246" t="s">
        <v>1276</v>
      </c>
      <c r="E246">
        <v>3</v>
      </c>
      <c r="F246">
        <v>3</v>
      </c>
      <c r="G246">
        <f>VLOOKUP(Table_Collate[[#This Row],[Practice ID]],TVM,4,FALSE)</f>
        <v>0</v>
      </c>
      <c r="H246">
        <f>_xlfn.IFNA(VLOOKUP(Table_Collate[[#This Row],[Current State]],Score,2,FALSE),0)</f>
        <v>0</v>
      </c>
    </row>
    <row r="247" spans="1:8">
      <c r="A247" t="s">
        <v>764</v>
      </c>
      <c r="B247">
        <v>0</v>
      </c>
      <c r="C247" t="s">
        <v>726</v>
      </c>
      <c r="D247" t="s">
        <v>1276</v>
      </c>
      <c r="E247">
        <v>3</v>
      </c>
      <c r="F247">
        <v>3</v>
      </c>
      <c r="G247">
        <f>VLOOKUP(Table_Collate[[#This Row],[Practice ID]],TVM,4,FALSE)</f>
        <v>0</v>
      </c>
      <c r="H247">
        <f>_xlfn.IFNA(VLOOKUP(Table_Collate[[#This Row],[Current State]],Score,2,FALSE),0)</f>
        <v>0</v>
      </c>
    </row>
    <row r="248" spans="1:8">
      <c r="A248" t="s">
        <v>767</v>
      </c>
      <c r="B248">
        <v>0</v>
      </c>
      <c r="C248" t="s">
        <v>726</v>
      </c>
      <c r="D248" t="s">
        <v>1276</v>
      </c>
      <c r="E248">
        <v>3</v>
      </c>
      <c r="F248">
        <v>3</v>
      </c>
      <c r="G248">
        <f>VLOOKUP(Table_Collate[[#This Row],[Practice ID]],TVM,4,FALSE)</f>
        <v>0</v>
      </c>
      <c r="H248">
        <f>_xlfn.IFNA(VLOOKUP(Table_Collate[[#This Row],[Current State]],Score,2,FALSE),0)</f>
        <v>0</v>
      </c>
    </row>
    <row r="249" spans="1:8">
      <c r="A249" t="s">
        <v>772</v>
      </c>
      <c r="B249">
        <v>1</v>
      </c>
      <c r="C249" t="s">
        <v>770</v>
      </c>
      <c r="D249" t="s">
        <v>1276</v>
      </c>
      <c r="E249">
        <v>1</v>
      </c>
      <c r="F249">
        <v>1</v>
      </c>
      <c r="G249">
        <f>VLOOKUP(Table_Collate[[#This Row],[Practice ID]],TVM,4,FALSE)</f>
        <v>0</v>
      </c>
      <c r="H249">
        <f>_xlfn.IFNA(VLOOKUP(Table_Collate[[#This Row],[Current State]],Score,2,FALSE),0)</f>
        <v>0</v>
      </c>
    </row>
    <row r="250" spans="1:8">
      <c r="A250" t="s">
        <v>775</v>
      </c>
      <c r="B250">
        <v>1</v>
      </c>
      <c r="C250" t="s">
        <v>770</v>
      </c>
      <c r="D250" t="s">
        <v>1276</v>
      </c>
      <c r="E250">
        <v>2</v>
      </c>
      <c r="F250">
        <v>2</v>
      </c>
      <c r="G250">
        <f>VLOOKUP(Table_Collate[[#This Row],[Practice ID]],TVM,4,FALSE)</f>
        <v>0</v>
      </c>
      <c r="H250">
        <f>_xlfn.IFNA(VLOOKUP(Table_Collate[[#This Row],[Current State]],Score,2,FALSE),0)</f>
        <v>0</v>
      </c>
    </row>
    <row r="251" spans="1:8">
      <c r="A251" t="s">
        <v>778</v>
      </c>
      <c r="B251">
        <v>1</v>
      </c>
      <c r="C251" t="s">
        <v>770</v>
      </c>
      <c r="D251" t="s">
        <v>1276</v>
      </c>
      <c r="E251">
        <v>2</v>
      </c>
      <c r="F251">
        <v>2</v>
      </c>
      <c r="G251">
        <f>VLOOKUP(Table_Collate[[#This Row],[Practice ID]],TVM,4,FALSE)</f>
        <v>0</v>
      </c>
      <c r="H251">
        <f>_xlfn.IFNA(VLOOKUP(Table_Collate[[#This Row],[Current State]],Score,2,FALSE),0)</f>
        <v>0</v>
      </c>
    </row>
    <row r="252" spans="1:8">
      <c r="A252" t="s">
        <v>1105</v>
      </c>
      <c r="B252">
        <v>0</v>
      </c>
      <c r="C252" t="s">
        <v>1103</v>
      </c>
      <c r="D252" t="s">
        <v>1280</v>
      </c>
      <c r="E252">
        <v>1</v>
      </c>
      <c r="F252">
        <v>1</v>
      </c>
      <c r="G252">
        <f>VLOOKUP(Table_Collate[[#This Row],[Practice ID]],WM,4,FALSE)</f>
        <v>0</v>
      </c>
      <c r="H252">
        <f>_xlfn.IFNA(VLOOKUP(Table_Collate[[#This Row],[Current State]],Score,2,FALSE),0)</f>
        <v>0</v>
      </c>
    </row>
    <row r="253" spans="1:8">
      <c r="A253" t="s">
        <v>1108</v>
      </c>
      <c r="B253">
        <v>0</v>
      </c>
      <c r="C253" t="s">
        <v>1103</v>
      </c>
      <c r="D253" t="s">
        <v>1280</v>
      </c>
      <c r="E253">
        <v>1</v>
      </c>
      <c r="F253">
        <v>1</v>
      </c>
      <c r="G253">
        <f>VLOOKUP(Table_Collate[[#This Row],[Practice ID]],WM,4,FALSE)</f>
        <v>0</v>
      </c>
      <c r="H253">
        <f>_xlfn.IFNA(VLOOKUP(Table_Collate[[#This Row],[Current State]],Score,2,FALSE),0)</f>
        <v>0</v>
      </c>
    </row>
    <row r="254" spans="1:8">
      <c r="A254" t="s">
        <v>1111</v>
      </c>
      <c r="B254">
        <v>0</v>
      </c>
      <c r="C254" t="s">
        <v>1103</v>
      </c>
      <c r="D254" t="s">
        <v>1280</v>
      </c>
      <c r="E254">
        <v>2</v>
      </c>
      <c r="F254">
        <v>2</v>
      </c>
      <c r="G254">
        <f>VLOOKUP(Table_Collate[[#This Row],[Practice ID]],WM,4,FALSE)</f>
        <v>0</v>
      </c>
      <c r="H254">
        <f>_xlfn.IFNA(VLOOKUP(Table_Collate[[#This Row],[Current State]],Score,2,FALSE),0)</f>
        <v>0</v>
      </c>
    </row>
    <row r="255" spans="1:8">
      <c r="A255" t="s">
        <v>1114</v>
      </c>
      <c r="B255">
        <v>0</v>
      </c>
      <c r="C255" t="s">
        <v>1103</v>
      </c>
      <c r="D255" t="s">
        <v>1280</v>
      </c>
      <c r="E255">
        <v>2</v>
      </c>
      <c r="F255">
        <v>1</v>
      </c>
      <c r="G255">
        <f>VLOOKUP(Table_Collate[[#This Row],[Practice ID]],WM,4,FALSE)</f>
        <v>0</v>
      </c>
      <c r="H255">
        <f>_xlfn.IFNA(VLOOKUP(Table_Collate[[#This Row],[Current State]],Score,2,FALSE),0)</f>
        <v>0</v>
      </c>
    </row>
    <row r="256" spans="1:8">
      <c r="A256" t="s">
        <v>1117</v>
      </c>
      <c r="B256">
        <v>0</v>
      </c>
      <c r="C256" t="s">
        <v>1103</v>
      </c>
      <c r="D256" t="s">
        <v>1280</v>
      </c>
      <c r="E256">
        <v>3</v>
      </c>
      <c r="F256">
        <v>2</v>
      </c>
      <c r="G256">
        <f>VLOOKUP(Table_Collate[[#This Row],[Practice ID]],WM,4,FALSE)</f>
        <v>0</v>
      </c>
      <c r="H256">
        <f>_xlfn.IFNA(VLOOKUP(Table_Collate[[#This Row],[Current State]],Score,2,FALSE),0)</f>
        <v>0</v>
      </c>
    </row>
    <row r="257" spans="1:8">
      <c r="A257" t="s">
        <v>1120</v>
      </c>
      <c r="B257">
        <v>0</v>
      </c>
      <c r="C257" t="s">
        <v>1103</v>
      </c>
      <c r="D257" t="s">
        <v>1280</v>
      </c>
      <c r="E257">
        <v>3</v>
      </c>
      <c r="F257">
        <v>3</v>
      </c>
      <c r="G257">
        <f>VLOOKUP(Table_Collate[[#This Row],[Practice ID]],WM,4,FALSE)</f>
        <v>0</v>
      </c>
      <c r="H257">
        <f>_xlfn.IFNA(VLOOKUP(Table_Collate[[#This Row],[Current State]],Score,2,FALSE),0)</f>
        <v>0</v>
      </c>
    </row>
    <row r="258" spans="1:8">
      <c r="A258" t="s">
        <v>1123</v>
      </c>
      <c r="B258">
        <v>0</v>
      </c>
      <c r="C258" t="s">
        <v>1103</v>
      </c>
      <c r="D258" t="s">
        <v>1280</v>
      </c>
      <c r="E258">
        <v>3</v>
      </c>
      <c r="F258">
        <v>3</v>
      </c>
      <c r="G258">
        <f>VLOOKUP(Table_Collate[[#This Row],[Practice ID]],WM,4,FALSE)</f>
        <v>0</v>
      </c>
      <c r="H258">
        <f>_xlfn.IFNA(VLOOKUP(Table_Collate[[#This Row],[Current State]],Score,2,FALSE),0)</f>
        <v>0</v>
      </c>
    </row>
    <row r="259" spans="1:8">
      <c r="A259" t="s">
        <v>1128</v>
      </c>
      <c r="B259">
        <v>0</v>
      </c>
      <c r="C259" t="s">
        <v>1126</v>
      </c>
      <c r="D259" t="s">
        <v>1280</v>
      </c>
      <c r="E259">
        <v>1</v>
      </c>
      <c r="F259">
        <v>1</v>
      </c>
      <c r="G259">
        <f>VLOOKUP(Table_Collate[[#This Row],[Practice ID]],WM,4,FALSE)</f>
        <v>0</v>
      </c>
      <c r="H259">
        <f>_xlfn.IFNA(VLOOKUP(Table_Collate[[#This Row],[Current State]],Score,2,FALSE),0)</f>
        <v>0</v>
      </c>
    </row>
    <row r="260" spans="1:8">
      <c r="A260" t="s">
        <v>1131</v>
      </c>
      <c r="B260">
        <v>0</v>
      </c>
      <c r="C260" t="s">
        <v>1126</v>
      </c>
      <c r="D260" t="s">
        <v>1280</v>
      </c>
      <c r="E260">
        <v>1</v>
      </c>
      <c r="F260">
        <v>1</v>
      </c>
      <c r="G260">
        <f>VLOOKUP(Table_Collate[[#This Row],[Practice ID]],WM,4,FALSE)</f>
        <v>0</v>
      </c>
      <c r="H260">
        <f>_xlfn.IFNA(VLOOKUP(Table_Collate[[#This Row],[Current State]],Score,2,FALSE),0)</f>
        <v>0</v>
      </c>
    </row>
    <row r="261" spans="1:8">
      <c r="A261" t="s">
        <v>1134</v>
      </c>
      <c r="B261">
        <v>0</v>
      </c>
      <c r="C261" t="s">
        <v>1126</v>
      </c>
      <c r="D261" t="s">
        <v>1280</v>
      </c>
      <c r="E261">
        <v>2</v>
      </c>
      <c r="F261">
        <v>2</v>
      </c>
      <c r="G261">
        <f>VLOOKUP(Table_Collate[[#This Row],[Practice ID]],WM,4,FALSE)</f>
        <v>0</v>
      </c>
      <c r="H261">
        <f>_xlfn.IFNA(VLOOKUP(Table_Collate[[#This Row],[Current State]],Score,2,FALSE),0)</f>
        <v>0</v>
      </c>
    </row>
    <row r="262" spans="1:8">
      <c r="A262" t="s">
        <v>1137</v>
      </c>
      <c r="B262">
        <v>0</v>
      </c>
      <c r="C262" t="s">
        <v>1126</v>
      </c>
      <c r="D262" t="s">
        <v>1280</v>
      </c>
      <c r="E262">
        <v>2</v>
      </c>
      <c r="F262">
        <v>2</v>
      </c>
      <c r="G262">
        <f>VLOOKUP(Table_Collate[[#This Row],[Practice ID]],WM,4,FALSE)</f>
        <v>0</v>
      </c>
      <c r="H262">
        <f>_xlfn.IFNA(VLOOKUP(Table_Collate[[#This Row],[Current State]],Score,2,FALSE),0)</f>
        <v>0</v>
      </c>
    </row>
    <row r="263" spans="1:8">
      <c r="A263" t="s">
        <v>1140</v>
      </c>
      <c r="B263">
        <v>0</v>
      </c>
      <c r="C263" t="s">
        <v>1126</v>
      </c>
      <c r="D263" t="s">
        <v>1280</v>
      </c>
      <c r="E263">
        <v>3</v>
      </c>
      <c r="F263">
        <v>3</v>
      </c>
      <c r="G263">
        <f>VLOOKUP(Table_Collate[[#This Row],[Practice ID]],WM,4,FALSE)</f>
        <v>0</v>
      </c>
      <c r="H263">
        <f>_xlfn.IFNA(VLOOKUP(Table_Collate[[#This Row],[Current State]],Score,2,FALSE),0)</f>
        <v>0</v>
      </c>
    </row>
    <row r="264" spans="1:8">
      <c r="A264" t="s">
        <v>1143</v>
      </c>
      <c r="B264">
        <v>0</v>
      </c>
      <c r="C264" t="s">
        <v>1126</v>
      </c>
      <c r="D264" t="s">
        <v>1280</v>
      </c>
      <c r="E264">
        <v>3</v>
      </c>
      <c r="F264">
        <v>3</v>
      </c>
      <c r="G264">
        <f>VLOOKUP(Table_Collate[[#This Row],[Practice ID]],WM,4,FALSE)</f>
        <v>0</v>
      </c>
      <c r="H264">
        <f>_xlfn.IFNA(VLOOKUP(Table_Collate[[#This Row],[Current State]],Score,2,FALSE),0)</f>
        <v>0</v>
      </c>
    </row>
    <row r="265" spans="1:8">
      <c r="A265" t="s">
        <v>1146</v>
      </c>
      <c r="B265">
        <v>0</v>
      </c>
      <c r="C265" t="s">
        <v>1126</v>
      </c>
      <c r="D265" t="s">
        <v>1280</v>
      </c>
      <c r="E265">
        <v>3</v>
      </c>
      <c r="F265">
        <v>3</v>
      </c>
      <c r="G265">
        <f>VLOOKUP(Table_Collate[[#This Row],[Practice ID]],WM,4,FALSE)</f>
        <v>0</v>
      </c>
      <c r="H265">
        <f>_xlfn.IFNA(VLOOKUP(Table_Collate[[#This Row],[Current State]],Score,2,FALSE),0)</f>
        <v>0</v>
      </c>
    </row>
    <row r="266" spans="1:8">
      <c r="A266" t="s">
        <v>1149</v>
      </c>
      <c r="B266">
        <v>0</v>
      </c>
      <c r="C266" t="s">
        <v>1126</v>
      </c>
      <c r="D266" t="s">
        <v>1280</v>
      </c>
      <c r="E266">
        <v>3</v>
      </c>
      <c r="F266">
        <v>2</v>
      </c>
      <c r="G266">
        <f>VLOOKUP(Table_Collate[[#This Row],[Practice ID]],WM,4,FALSE)</f>
        <v>0</v>
      </c>
      <c r="H266">
        <f>_xlfn.IFNA(VLOOKUP(Table_Collate[[#This Row],[Current State]],Score,2,FALSE),0)</f>
        <v>0</v>
      </c>
    </row>
    <row r="267" spans="1:8">
      <c r="A267" t="s">
        <v>1154</v>
      </c>
      <c r="B267">
        <v>0</v>
      </c>
      <c r="C267" t="s">
        <v>1152</v>
      </c>
      <c r="D267" t="s">
        <v>1280</v>
      </c>
      <c r="E267">
        <v>1</v>
      </c>
      <c r="F267">
        <v>1</v>
      </c>
      <c r="G267">
        <f>VLOOKUP(Table_Collate[[#This Row],[Practice ID]],WM,4,FALSE)</f>
        <v>0</v>
      </c>
      <c r="H267">
        <f>_xlfn.IFNA(VLOOKUP(Table_Collate[[#This Row],[Current State]],Score,2,FALSE),0)</f>
        <v>0</v>
      </c>
    </row>
    <row r="268" spans="1:8">
      <c r="A268" t="s">
        <v>1157</v>
      </c>
      <c r="B268">
        <v>0</v>
      </c>
      <c r="C268" t="s">
        <v>1152</v>
      </c>
      <c r="D268" t="s">
        <v>1280</v>
      </c>
      <c r="E268">
        <v>2</v>
      </c>
      <c r="F268">
        <v>2</v>
      </c>
      <c r="G268">
        <f>VLOOKUP(Table_Collate[[#This Row],[Practice ID]],WM,4,FALSE)</f>
        <v>0</v>
      </c>
      <c r="H268">
        <f>_xlfn.IFNA(VLOOKUP(Table_Collate[[#This Row],[Current State]],Score,2,FALSE),0)</f>
        <v>0</v>
      </c>
    </row>
    <row r="269" spans="1:8">
      <c r="A269" t="s">
        <v>1160</v>
      </c>
      <c r="B269">
        <v>0</v>
      </c>
      <c r="C269" t="s">
        <v>1152</v>
      </c>
      <c r="D269" t="s">
        <v>1280</v>
      </c>
      <c r="E269">
        <v>2</v>
      </c>
      <c r="F269">
        <v>2</v>
      </c>
      <c r="G269">
        <f>VLOOKUP(Table_Collate[[#This Row],[Practice ID]],WM,4,FALSE)</f>
        <v>0</v>
      </c>
      <c r="H269">
        <f>_xlfn.IFNA(VLOOKUP(Table_Collate[[#This Row],[Current State]],Score,2,FALSE),0)</f>
        <v>0</v>
      </c>
    </row>
    <row r="270" spans="1:8">
      <c r="A270" t="s">
        <v>1163</v>
      </c>
      <c r="B270">
        <v>0</v>
      </c>
      <c r="C270" t="s">
        <v>1152</v>
      </c>
      <c r="D270" t="s">
        <v>1280</v>
      </c>
      <c r="E270">
        <v>2</v>
      </c>
      <c r="F270">
        <v>1</v>
      </c>
      <c r="G270">
        <f>VLOOKUP(Table_Collate[[#This Row],[Practice ID]],WM,4,FALSE)</f>
        <v>0</v>
      </c>
      <c r="H270">
        <f>_xlfn.IFNA(VLOOKUP(Table_Collate[[#This Row],[Current State]],Score,2,FALSE),0)</f>
        <v>0</v>
      </c>
    </row>
    <row r="271" spans="1:8">
      <c r="A271" t="s">
        <v>1166</v>
      </c>
      <c r="B271">
        <v>0</v>
      </c>
      <c r="C271" t="s">
        <v>1152</v>
      </c>
      <c r="D271" t="s">
        <v>1280</v>
      </c>
      <c r="E271">
        <v>3</v>
      </c>
      <c r="F271">
        <v>3</v>
      </c>
      <c r="G271">
        <f>VLOOKUP(Table_Collate[[#This Row],[Practice ID]],WM,4,FALSE)</f>
        <v>0</v>
      </c>
      <c r="H271">
        <f>_xlfn.IFNA(VLOOKUP(Table_Collate[[#This Row],[Current State]],Score,2,FALSE),0)</f>
        <v>0</v>
      </c>
    </row>
    <row r="272" spans="1:8">
      <c r="A272" t="s">
        <v>1169</v>
      </c>
      <c r="B272">
        <v>0</v>
      </c>
      <c r="C272" t="s">
        <v>1152</v>
      </c>
      <c r="D272" t="s">
        <v>1280</v>
      </c>
      <c r="E272">
        <v>3</v>
      </c>
      <c r="F272">
        <v>3</v>
      </c>
      <c r="G272">
        <f>VLOOKUP(Table_Collate[[#This Row],[Practice ID]],WM,4,FALSE)</f>
        <v>0</v>
      </c>
      <c r="H272">
        <f>_xlfn.IFNA(VLOOKUP(Table_Collate[[#This Row],[Current State]],Score,2,FALSE),0)</f>
        <v>0</v>
      </c>
    </row>
    <row r="273" spans="1:8">
      <c r="A273" t="s">
        <v>1172</v>
      </c>
      <c r="B273">
        <v>0</v>
      </c>
      <c r="C273" t="s">
        <v>1152</v>
      </c>
      <c r="D273" t="s">
        <v>1280</v>
      </c>
      <c r="E273">
        <v>3</v>
      </c>
      <c r="F273">
        <v>3</v>
      </c>
      <c r="G273">
        <f>VLOOKUP(Table_Collate[[#This Row],[Practice ID]],WM,4,FALSE)</f>
        <v>0</v>
      </c>
      <c r="H273">
        <f>_xlfn.IFNA(VLOOKUP(Table_Collate[[#This Row],[Current State]],Score,2,FALSE),0)</f>
        <v>0</v>
      </c>
    </row>
    <row r="274" spans="1:8">
      <c r="A274" t="s">
        <v>1175</v>
      </c>
      <c r="B274">
        <v>0</v>
      </c>
      <c r="C274" t="s">
        <v>1152</v>
      </c>
      <c r="D274" t="s">
        <v>1280</v>
      </c>
      <c r="E274">
        <v>3</v>
      </c>
      <c r="F274">
        <v>3</v>
      </c>
      <c r="G274">
        <f>VLOOKUP(Table_Collate[[#This Row],[Practice ID]],WM,4,FALSE)</f>
        <v>0</v>
      </c>
      <c r="H274">
        <f>_xlfn.IFNA(VLOOKUP(Table_Collate[[#This Row],[Current State]],Score,2,FALSE),0)</f>
        <v>0</v>
      </c>
    </row>
    <row r="275" spans="1:8">
      <c r="A275" t="s">
        <v>1178</v>
      </c>
      <c r="B275">
        <v>0</v>
      </c>
      <c r="C275" t="s">
        <v>1152</v>
      </c>
      <c r="D275" t="s">
        <v>1280</v>
      </c>
      <c r="E275">
        <v>3</v>
      </c>
      <c r="F275">
        <v>3</v>
      </c>
      <c r="G275">
        <f>VLOOKUP(Table_Collate[[#This Row],[Practice ID]],WM,4,FALSE)</f>
        <v>0</v>
      </c>
      <c r="H275">
        <f>_xlfn.IFNA(VLOOKUP(Table_Collate[[#This Row],[Current State]],Score,2,FALSE),0)</f>
        <v>0</v>
      </c>
    </row>
    <row r="276" spans="1:8">
      <c r="A276" t="s">
        <v>1183</v>
      </c>
      <c r="B276">
        <v>0</v>
      </c>
      <c r="C276" t="s">
        <v>1181</v>
      </c>
      <c r="D276" t="s">
        <v>1280</v>
      </c>
      <c r="E276">
        <v>1</v>
      </c>
      <c r="F276">
        <v>1</v>
      </c>
      <c r="G276">
        <f>VLOOKUP(Table_Collate[[#This Row],[Practice ID]],WM,4,FALSE)</f>
        <v>0</v>
      </c>
      <c r="H276">
        <f>_xlfn.IFNA(VLOOKUP(Table_Collate[[#This Row],[Current State]],Score,2,FALSE),0)</f>
        <v>0</v>
      </c>
    </row>
    <row r="277" spans="1:8">
      <c r="A277" t="s">
        <v>1186</v>
      </c>
      <c r="B277">
        <v>0</v>
      </c>
      <c r="C277" t="s">
        <v>1181</v>
      </c>
      <c r="D277" t="s">
        <v>1280</v>
      </c>
      <c r="E277">
        <v>2</v>
      </c>
      <c r="F277">
        <v>2</v>
      </c>
      <c r="G277">
        <f>VLOOKUP(Table_Collate[[#This Row],[Practice ID]],WM,4,FALSE)</f>
        <v>0</v>
      </c>
      <c r="H277">
        <f>_xlfn.IFNA(VLOOKUP(Table_Collate[[#This Row],[Current State]],Score,2,FALSE),0)</f>
        <v>0</v>
      </c>
    </row>
    <row r="278" spans="1:8">
      <c r="A278" t="s">
        <v>1189</v>
      </c>
      <c r="B278">
        <v>0</v>
      </c>
      <c r="C278" t="s">
        <v>1181</v>
      </c>
      <c r="D278" t="s">
        <v>1280</v>
      </c>
      <c r="E278">
        <v>2</v>
      </c>
      <c r="F278">
        <v>2</v>
      </c>
      <c r="G278">
        <f>VLOOKUP(Table_Collate[[#This Row],[Practice ID]],WM,4,FALSE)</f>
        <v>0</v>
      </c>
      <c r="H278">
        <f>_xlfn.IFNA(VLOOKUP(Table_Collate[[#This Row],[Current State]],Score,2,FALSE),0)</f>
        <v>0</v>
      </c>
    </row>
    <row r="279" spans="1:8">
      <c r="A279" t="s">
        <v>1192</v>
      </c>
      <c r="B279">
        <v>0</v>
      </c>
      <c r="C279" t="s">
        <v>1181</v>
      </c>
      <c r="D279" t="s">
        <v>1280</v>
      </c>
      <c r="E279">
        <v>3</v>
      </c>
      <c r="F279">
        <v>3</v>
      </c>
      <c r="G279">
        <f>VLOOKUP(Table_Collate[[#This Row],[Practice ID]],WM,4,FALSE)</f>
        <v>0</v>
      </c>
      <c r="H279">
        <f>_xlfn.IFNA(VLOOKUP(Table_Collate[[#This Row],[Current State]],Score,2,FALSE),0)</f>
        <v>0</v>
      </c>
    </row>
    <row r="280" spans="1:8">
      <c r="A280" t="s">
        <v>1195</v>
      </c>
      <c r="B280">
        <v>0</v>
      </c>
      <c r="C280" t="s">
        <v>1181</v>
      </c>
      <c r="D280" t="s">
        <v>1280</v>
      </c>
      <c r="E280">
        <v>3</v>
      </c>
      <c r="F280">
        <v>3</v>
      </c>
      <c r="G280">
        <f>VLOOKUP(Table_Collate[[#This Row],[Practice ID]],WM,4,FALSE)</f>
        <v>0</v>
      </c>
      <c r="H280">
        <f>_xlfn.IFNA(VLOOKUP(Table_Collate[[#This Row],[Current State]],Score,2,FALSE),0)</f>
        <v>0</v>
      </c>
    </row>
    <row r="281" spans="1:8">
      <c r="A281" t="s">
        <v>1200</v>
      </c>
      <c r="B281">
        <v>1</v>
      </c>
      <c r="C281" t="s">
        <v>1198</v>
      </c>
      <c r="D281" t="s">
        <v>1280</v>
      </c>
      <c r="E281">
        <v>3</v>
      </c>
      <c r="F281">
        <v>2</v>
      </c>
      <c r="G281">
        <f>VLOOKUP(Table_Collate[[#This Row],[Practice ID]],WM,4,FALSE)</f>
        <v>0</v>
      </c>
      <c r="H281">
        <f>_xlfn.IFNA(VLOOKUP(Table_Collate[[#This Row],[Current State]],Score,2,FALSE),0)</f>
        <v>0</v>
      </c>
    </row>
    <row r="282" spans="1:8">
      <c r="A282" t="s">
        <v>1203</v>
      </c>
      <c r="B282">
        <v>1</v>
      </c>
      <c r="C282" t="s">
        <v>1198</v>
      </c>
      <c r="D282" t="s">
        <v>1280</v>
      </c>
      <c r="E282">
        <v>3</v>
      </c>
      <c r="F282">
        <v>3</v>
      </c>
      <c r="G282">
        <f>VLOOKUP(Table_Collate[[#This Row],[Practice ID]],WM,4,FALSE)</f>
        <v>0</v>
      </c>
      <c r="H282">
        <f>_xlfn.IFNA(VLOOKUP(Table_Collate[[#This Row],[Current State]],Score,2,FALSE),0)</f>
        <v>0</v>
      </c>
    </row>
    <row r="283" spans="1:8">
      <c r="A283" t="s">
        <v>1206</v>
      </c>
      <c r="B283">
        <v>1</v>
      </c>
      <c r="C283" t="s">
        <v>1198</v>
      </c>
      <c r="D283" t="s">
        <v>1280</v>
      </c>
      <c r="E283">
        <v>3</v>
      </c>
      <c r="F283">
        <v>3</v>
      </c>
      <c r="G283">
        <f>VLOOKUP(Table_Collate[[#This Row],[Practice ID]],WM,4,FALSE)</f>
        <v>0</v>
      </c>
      <c r="H283">
        <f>_xlfn.IFNA(VLOOKUP(Table_Collate[[#This Row],[Current State]],Score,2,FALSE),0)</f>
        <v>0</v>
      </c>
    </row>
  </sheetData>
  <sheetProtection algorithmName="SHA-1" hashValue="kfxixYZ1AOJcQdvJVPveDEz2MTo=" saltValue="Fl1CELebivQmz2OldUeXEg==" spinCount="100000" sheet="1" objects="1" scenarios="1" selectLockedCells="1" selectUnlockedCells="1"/>
  <mergeCells count="2">
    <mergeCell ref="J15:K15"/>
    <mergeCell ref="L15:M15"/>
  </mergeCells>
  <phoneticPr fontId="19" type="noConversion"/>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2FBC4-E295-3C46-8FCE-BF41F0F38194}">
  <sheetPr codeName="Sheet13">
    <tabColor theme="3" tint="0.39997558519241921"/>
    <outlinePr summaryBelow="0"/>
  </sheetPr>
  <dimension ref="A1:H181"/>
  <sheetViews>
    <sheetView zoomScale="120" zoomScaleNormal="120" workbookViewId="0">
      <pane ySplit="10" topLeftCell="A11" activePane="bottomLeft" state="frozen"/>
      <selection pane="bottomLeft" activeCell="A11" sqref="A11"/>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11" customWidth="1"/>
    <col min="9" max="9" width="1.7109375" customWidth="1"/>
    <col min="10" max="15" width="11" customWidth="1"/>
  </cols>
  <sheetData>
    <row r="1" spans="1:8">
      <c r="A1" s="6" t="s">
        <v>0</v>
      </c>
    </row>
    <row r="2" spans="1:8" ht="20.25" thickBot="1">
      <c r="B2" s="4" t="s">
        <v>48</v>
      </c>
      <c r="F2" s="37" t="s">
        <v>49</v>
      </c>
    </row>
    <row r="3" spans="1:8" ht="13.5" thickTop="1"/>
    <row r="4" spans="1:8" ht="27" thickBot="1">
      <c r="B4" s="5" t="s">
        <v>50</v>
      </c>
      <c r="F4" s="36" t="str">
        <f ca="1">Overall_Criticality_Level</f>
        <v>N/A</v>
      </c>
    </row>
    <row r="5" spans="1:8" ht="13.5" thickTop="1"/>
    <row r="6" spans="1:8" ht="124.9" customHeight="1">
      <c r="B6" s="56" t="s">
        <v>51</v>
      </c>
      <c r="C6" s="56"/>
      <c r="D6" s="56"/>
      <c r="E6" s="56"/>
      <c r="F6" s="56"/>
    </row>
    <row r="8" spans="1:8" ht="18" thickBot="1">
      <c r="B8" s="2" t="s">
        <v>52</v>
      </c>
      <c r="D8" s="5" t="s">
        <v>53</v>
      </c>
      <c r="E8" s="5"/>
      <c r="F8" s="5"/>
      <c r="G8" s="5"/>
      <c r="H8" s="5"/>
    </row>
    <row r="9" spans="1:8" ht="13.5" thickTop="1"/>
    <row r="10" spans="1:8" ht="15.75" thickBot="1">
      <c r="D10" s="20" t="s">
        <v>54</v>
      </c>
      <c r="F10" s="20" t="s">
        <v>55</v>
      </c>
      <c r="H10" s="20" t="s">
        <v>56</v>
      </c>
    </row>
    <row r="11" spans="1:8">
      <c r="A11" s="9"/>
      <c r="B11" s="8" t="s">
        <v>57</v>
      </c>
      <c r="C11" s="8"/>
      <c r="D11" s="8"/>
      <c r="E11" s="8"/>
      <c r="F11" s="8"/>
      <c r="G11" s="8"/>
      <c r="H11" s="8"/>
    </row>
    <row r="12" spans="1:8">
      <c r="A12" s="3" t="s">
        <v>58</v>
      </c>
      <c r="B12" t="s">
        <v>59</v>
      </c>
      <c r="D12" s="14"/>
      <c r="F12" s="14"/>
      <c r="H12" s="28">
        <v>1</v>
      </c>
    </row>
    <row r="14" spans="1:8">
      <c r="B14" s="21" t="s">
        <v>60</v>
      </c>
    </row>
    <row r="15" spans="1:8" ht="75" customHeight="1">
      <c r="B15" s="57" t="s">
        <v>61</v>
      </c>
      <c r="C15" s="57"/>
      <c r="D15" s="57"/>
      <c r="E15" s="57"/>
      <c r="F15" s="57"/>
    </row>
    <row r="17" spans="1:8">
      <c r="A17" s="3" t="s">
        <v>62</v>
      </c>
      <c r="B17" t="s">
        <v>63</v>
      </c>
      <c r="D17" s="14"/>
      <c r="F17" s="14"/>
      <c r="H17" s="28">
        <v>0.35</v>
      </c>
    </row>
    <row r="19" spans="1:8">
      <c r="B19" s="21" t="s">
        <v>60</v>
      </c>
    </row>
    <row r="20" spans="1:8" ht="90" customHeight="1">
      <c r="B20" s="57" t="s">
        <v>64</v>
      </c>
      <c r="C20" s="57"/>
      <c r="D20" s="57"/>
      <c r="E20" s="57"/>
      <c r="F20" s="57"/>
    </row>
    <row r="22" spans="1:8" ht="25.5">
      <c r="A22" s="3" t="s">
        <v>65</v>
      </c>
      <c r="B22" t="s">
        <v>66</v>
      </c>
      <c r="D22" s="14"/>
      <c r="F22" s="14"/>
      <c r="H22" s="28">
        <v>0.1</v>
      </c>
    </row>
    <row r="24" spans="1:8">
      <c r="B24" s="21" t="s">
        <v>60</v>
      </c>
    </row>
    <row r="25" spans="1:8" ht="105" customHeight="1">
      <c r="B25" s="57" t="s">
        <v>67</v>
      </c>
      <c r="C25" s="57"/>
      <c r="D25" s="57"/>
      <c r="E25" s="57"/>
      <c r="F25" s="57"/>
    </row>
    <row r="27" spans="1:8" ht="25.5">
      <c r="A27" s="3" t="s">
        <v>68</v>
      </c>
      <c r="B27" t="s">
        <v>69</v>
      </c>
      <c r="D27" s="14"/>
      <c r="F27" s="14"/>
      <c r="H27" s="28">
        <v>0.05</v>
      </c>
    </row>
    <row r="29" spans="1:8">
      <c r="B29" s="21" t="s">
        <v>60</v>
      </c>
    </row>
    <row r="30" spans="1:8" ht="30" customHeight="1">
      <c r="B30" s="57" t="s">
        <v>70</v>
      </c>
      <c r="C30" s="57"/>
      <c r="D30" s="57"/>
      <c r="E30" s="57"/>
      <c r="F30" s="57"/>
    </row>
    <row r="32" spans="1:8" ht="25.5">
      <c r="A32" s="3" t="s">
        <v>71</v>
      </c>
      <c r="B32" t="s">
        <v>72</v>
      </c>
      <c r="D32" s="14"/>
      <c r="F32" s="14"/>
      <c r="H32" s="28">
        <v>0.2</v>
      </c>
    </row>
    <row r="34" spans="1:8">
      <c r="B34" s="21" t="s">
        <v>60</v>
      </c>
    </row>
    <row r="35" spans="1:8" ht="75" customHeight="1">
      <c r="B35" s="57" t="s">
        <v>73</v>
      </c>
      <c r="C35" s="57"/>
      <c r="D35" s="57"/>
      <c r="E35" s="57"/>
      <c r="F35" s="57"/>
    </row>
    <row r="37" spans="1:8">
      <c r="A37" s="3" t="s">
        <v>74</v>
      </c>
      <c r="B37" t="s">
        <v>75</v>
      </c>
      <c r="D37" s="14"/>
      <c r="F37" s="14"/>
      <c r="H37" s="28">
        <v>0.05</v>
      </c>
    </row>
    <row r="39" spans="1:8">
      <c r="B39" s="21" t="s">
        <v>60</v>
      </c>
    </row>
    <row r="40" spans="1:8" ht="90" customHeight="1">
      <c r="B40" s="57" t="s">
        <v>76</v>
      </c>
      <c r="C40" s="57"/>
      <c r="D40" s="57"/>
      <c r="E40" s="57"/>
      <c r="F40" s="57"/>
    </row>
    <row r="42" spans="1:8">
      <c r="A42" s="3" t="s">
        <v>77</v>
      </c>
      <c r="B42" t="s">
        <v>78</v>
      </c>
      <c r="D42" s="14"/>
      <c r="F42" s="14"/>
      <c r="H42" s="28">
        <v>0.02</v>
      </c>
    </row>
    <row r="44" spans="1:8">
      <c r="B44" s="21" t="s">
        <v>60</v>
      </c>
    </row>
    <row r="45" spans="1:8" ht="120" customHeight="1">
      <c r="B45" s="57" t="s">
        <v>79</v>
      </c>
      <c r="C45" s="57"/>
      <c r="D45" s="57"/>
      <c r="E45" s="57"/>
      <c r="F45" s="57"/>
    </row>
    <row r="47" spans="1:8">
      <c r="A47" s="3" t="s">
        <v>80</v>
      </c>
      <c r="B47" t="s">
        <v>81</v>
      </c>
      <c r="D47" s="14"/>
      <c r="F47" s="14"/>
      <c r="H47" s="28">
        <v>0.08</v>
      </c>
    </row>
    <row r="49" spans="1:8">
      <c r="B49" s="21" t="s">
        <v>60</v>
      </c>
    </row>
    <row r="50" spans="1:8" ht="30" customHeight="1">
      <c r="B50" s="57" t="s">
        <v>82</v>
      </c>
      <c r="C50" s="57"/>
      <c r="D50" s="57"/>
      <c r="E50" s="57"/>
      <c r="F50" s="57"/>
    </row>
    <row r="52" spans="1:8">
      <c r="A52" s="3" t="s">
        <v>83</v>
      </c>
      <c r="B52" t="s">
        <v>84</v>
      </c>
      <c r="D52" s="14"/>
      <c r="F52" s="14"/>
      <c r="H52" s="28">
        <v>0.1</v>
      </c>
    </row>
    <row r="54" spans="1:8">
      <c r="B54" s="21" t="s">
        <v>60</v>
      </c>
    </row>
    <row r="55" spans="1:8" ht="15" customHeight="1">
      <c r="B55" s="57" t="s">
        <v>85</v>
      </c>
      <c r="C55" s="57"/>
      <c r="D55" s="57"/>
      <c r="E55" s="57"/>
      <c r="F55" s="57"/>
    </row>
    <row r="57" spans="1:8">
      <c r="A57" s="3" t="s">
        <v>86</v>
      </c>
      <c r="B57" t="s">
        <v>87</v>
      </c>
      <c r="D57" s="14"/>
      <c r="F57" s="14"/>
      <c r="H57" s="28">
        <v>0.05</v>
      </c>
    </row>
    <row r="59" spans="1:8">
      <c r="B59" s="21" t="s">
        <v>60</v>
      </c>
    </row>
    <row r="60" spans="1:8" ht="15" customHeight="1">
      <c r="B60" s="57" t="s">
        <v>88</v>
      </c>
      <c r="C60" s="57"/>
      <c r="D60" s="57"/>
      <c r="E60" s="57"/>
      <c r="F60" s="57"/>
    </row>
    <row r="62" spans="1:8">
      <c r="A62" s="3" t="s">
        <v>89</v>
      </c>
      <c r="B62" t="s">
        <v>90</v>
      </c>
      <c r="D62" s="14"/>
      <c r="F62" s="14"/>
      <c r="H62" s="28">
        <v>0</v>
      </c>
    </row>
    <row r="64" spans="1:8">
      <c r="B64" s="21" t="s">
        <v>60</v>
      </c>
    </row>
    <row r="65" spans="1:8" ht="15" customHeight="1">
      <c r="B65" s="57" t="s">
        <v>91</v>
      </c>
      <c r="C65" s="57"/>
      <c r="D65" s="57"/>
      <c r="E65" s="57"/>
      <c r="F65" s="57"/>
    </row>
    <row r="66" spans="1:8" ht="15" customHeight="1">
      <c r="B66" s="7"/>
      <c r="C66" s="7"/>
      <c r="D66" s="7"/>
      <c r="E66" s="7"/>
      <c r="F66" s="7"/>
    </row>
    <row r="67" spans="1:8">
      <c r="A67" s="9"/>
      <c r="B67" s="8" t="s">
        <v>92</v>
      </c>
      <c r="C67" s="8"/>
      <c r="D67" s="8"/>
      <c r="E67" s="8"/>
      <c r="F67" s="8"/>
      <c r="G67" s="8"/>
      <c r="H67" s="8"/>
    </row>
    <row r="68" spans="1:8">
      <c r="A68" s="3" t="s">
        <v>93</v>
      </c>
      <c r="B68" t="s">
        <v>94</v>
      </c>
      <c r="D68" s="14"/>
      <c r="F68" s="14"/>
      <c r="H68" s="28">
        <v>1</v>
      </c>
    </row>
    <row r="70" spans="1:8">
      <c r="B70" s="21" t="s">
        <v>60</v>
      </c>
    </row>
    <row r="71" spans="1:8" ht="30" customHeight="1">
      <c r="B71" s="57" t="s">
        <v>95</v>
      </c>
      <c r="C71" s="57"/>
      <c r="D71" s="57"/>
      <c r="E71" s="57"/>
      <c r="F71" s="57"/>
    </row>
    <row r="73" spans="1:8">
      <c r="A73" s="3" t="s">
        <v>96</v>
      </c>
      <c r="B73" t="s">
        <v>97</v>
      </c>
      <c r="D73" s="14"/>
      <c r="F73" s="14"/>
      <c r="H73" s="28">
        <v>0.8</v>
      </c>
    </row>
    <row r="75" spans="1:8">
      <c r="B75" s="21" t="s">
        <v>60</v>
      </c>
    </row>
    <row r="76" spans="1:8" ht="15" customHeight="1">
      <c r="B76" s="57" t="s">
        <v>98</v>
      </c>
      <c r="C76" s="57"/>
      <c r="D76" s="57"/>
      <c r="E76" s="57"/>
      <c r="F76" s="57"/>
    </row>
    <row r="78" spans="1:8" ht="25.5">
      <c r="A78" s="3" t="s">
        <v>99</v>
      </c>
      <c r="B78" t="s">
        <v>100</v>
      </c>
      <c r="D78" s="14"/>
      <c r="F78" s="14"/>
      <c r="H78" s="28">
        <v>0.2</v>
      </c>
    </row>
    <row r="80" spans="1:8">
      <c r="B80" s="21" t="s">
        <v>60</v>
      </c>
    </row>
    <row r="81" spans="1:8" ht="45" customHeight="1">
      <c r="B81" s="57" t="s">
        <v>101</v>
      </c>
      <c r="C81" s="57"/>
      <c r="D81" s="57"/>
      <c r="E81" s="57"/>
      <c r="F81" s="57"/>
    </row>
    <row r="83" spans="1:8">
      <c r="A83" s="3" t="s">
        <v>102</v>
      </c>
      <c r="B83" t="s">
        <v>90</v>
      </c>
      <c r="D83" s="14"/>
      <c r="F83" s="14"/>
      <c r="H83" s="28">
        <v>0</v>
      </c>
    </row>
    <row r="85" spans="1:8">
      <c r="B85" s="21" t="s">
        <v>60</v>
      </c>
    </row>
    <row r="86" spans="1:8" ht="15" customHeight="1">
      <c r="B86" s="57" t="s">
        <v>91</v>
      </c>
      <c r="C86" s="57"/>
      <c r="D86" s="57"/>
      <c r="E86" s="57"/>
      <c r="F86" s="57"/>
    </row>
    <row r="87" spans="1:8" ht="15" customHeight="1">
      <c r="B87" s="7"/>
      <c r="C87" s="7"/>
      <c r="D87" s="7"/>
      <c r="E87" s="7"/>
      <c r="F87" s="7"/>
    </row>
    <row r="88" spans="1:8">
      <c r="A88" s="9"/>
      <c r="B88" s="8" t="s">
        <v>103</v>
      </c>
      <c r="C88" s="8"/>
      <c r="D88" s="8"/>
      <c r="E88" s="8"/>
      <c r="F88" s="8"/>
      <c r="G88" s="8"/>
      <c r="H88" s="8"/>
    </row>
    <row r="89" spans="1:8" ht="25.5">
      <c r="A89" s="3" t="s">
        <v>104</v>
      </c>
      <c r="B89" t="s">
        <v>105</v>
      </c>
      <c r="D89" s="14"/>
      <c r="F89" s="14"/>
      <c r="H89" s="28">
        <v>1</v>
      </c>
    </row>
    <row r="91" spans="1:8">
      <c r="B91" s="21" t="s">
        <v>60</v>
      </c>
    </row>
    <row r="92" spans="1:8" ht="30" customHeight="1">
      <c r="B92" s="57" t="s">
        <v>106</v>
      </c>
      <c r="C92" s="57"/>
      <c r="D92" s="57"/>
      <c r="E92" s="57"/>
      <c r="F92" s="57"/>
    </row>
    <row r="94" spans="1:8" ht="25.5">
      <c r="A94" s="3" t="s">
        <v>107</v>
      </c>
      <c r="B94" t="s">
        <v>100</v>
      </c>
      <c r="D94" s="14"/>
      <c r="F94" s="14"/>
      <c r="H94" s="28">
        <v>0.8</v>
      </c>
    </row>
    <row r="96" spans="1:8">
      <c r="B96" s="21" t="s">
        <v>60</v>
      </c>
    </row>
    <row r="97" spans="1:8" ht="45" customHeight="1">
      <c r="B97" s="57" t="s">
        <v>101</v>
      </c>
      <c r="C97" s="57"/>
      <c r="D97" s="57"/>
      <c r="E97" s="57"/>
      <c r="F97" s="57"/>
    </row>
    <row r="99" spans="1:8" ht="25.5">
      <c r="A99" s="3" t="s">
        <v>108</v>
      </c>
      <c r="B99" t="s">
        <v>109</v>
      </c>
      <c r="D99" s="14"/>
      <c r="F99" s="14"/>
      <c r="H99" s="28">
        <v>0.2</v>
      </c>
    </row>
    <row r="101" spans="1:8">
      <c r="B101" s="21" t="s">
        <v>60</v>
      </c>
    </row>
    <row r="102" spans="1:8" ht="30" customHeight="1">
      <c r="B102" s="57" t="s">
        <v>110</v>
      </c>
      <c r="C102" s="57"/>
      <c r="D102" s="57"/>
      <c r="E102" s="57"/>
      <c r="F102" s="57"/>
    </row>
    <row r="104" spans="1:8">
      <c r="A104" s="3" t="s">
        <v>111</v>
      </c>
      <c r="B104" t="s">
        <v>90</v>
      </c>
      <c r="D104" s="14"/>
      <c r="F104" s="14"/>
      <c r="H104" s="28">
        <v>0</v>
      </c>
    </row>
    <row r="106" spans="1:8">
      <c r="B106" s="21" t="s">
        <v>60</v>
      </c>
    </row>
    <row r="107" spans="1:8">
      <c r="B107" s="57" t="s">
        <v>91</v>
      </c>
      <c r="C107" s="57"/>
      <c r="D107" s="57"/>
      <c r="E107" s="57"/>
      <c r="F107" s="57"/>
    </row>
    <row r="108" spans="1:8">
      <c r="B108" s="7"/>
      <c r="C108" s="7"/>
      <c r="D108" s="7"/>
      <c r="E108" s="7"/>
      <c r="F108" s="7"/>
    </row>
    <row r="109" spans="1:8">
      <c r="A109" s="9"/>
      <c r="B109" s="8" t="s">
        <v>112</v>
      </c>
      <c r="C109" s="8"/>
      <c r="D109" s="8"/>
      <c r="E109" s="8"/>
      <c r="F109" s="8"/>
      <c r="G109" s="8"/>
      <c r="H109" s="8"/>
    </row>
    <row r="110" spans="1:8">
      <c r="A110" s="3" t="s">
        <v>113</v>
      </c>
      <c r="B110" t="s">
        <v>114</v>
      </c>
      <c r="D110" s="14"/>
      <c r="F110" s="14"/>
      <c r="H110" s="28">
        <v>1</v>
      </c>
    </row>
    <row r="112" spans="1:8">
      <c r="B112" s="21" t="s">
        <v>60</v>
      </c>
    </row>
    <row r="113" spans="1:8" ht="30" customHeight="1">
      <c r="B113" s="57" t="s">
        <v>115</v>
      </c>
      <c r="C113" s="57"/>
      <c r="D113" s="57"/>
      <c r="E113" s="57"/>
      <c r="F113" s="57"/>
    </row>
    <row r="115" spans="1:8" ht="25.5">
      <c r="A115" s="3" t="s">
        <v>116</v>
      </c>
      <c r="B115" t="s">
        <v>117</v>
      </c>
      <c r="D115" s="14"/>
      <c r="F115" s="14"/>
      <c r="H115" s="28">
        <v>0.4</v>
      </c>
    </row>
    <row r="117" spans="1:8">
      <c r="B117" s="21" t="s">
        <v>60</v>
      </c>
    </row>
    <row r="118" spans="1:8" ht="15" customHeight="1">
      <c r="B118" s="57" t="s">
        <v>118</v>
      </c>
      <c r="C118" s="57"/>
      <c r="D118" s="57"/>
      <c r="E118" s="57"/>
      <c r="F118" s="57"/>
    </row>
    <row r="120" spans="1:8">
      <c r="A120" s="3" t="s">
        <v>119</v>
      </c>
      <c r="B120" t="s">
        <v>97</v>
      </c>
      <c r="D120" s="14"/>
      <c r="F120" s="14"/>
      <c r="H120" s="28">
        <v>0.4</v>
      </c>
    </row>
    <row r="122" spans="1:8">
      <c r="B122" s="21" t="s">
        <v>60</v>
      </c>
    </row>
    <row r="123" spans="1:8" ht="15" customHeight="1">
      <c r="B123" s="57" t="s">
        <v>98</v>
      </c>
      <c r="C123" s="57"/>
      <c r="D123" s="57"/>
      <c r="E123" s="57"/>
      <c r="F123" s="57"/>
    </row>
    <row r="125" spans="1:8">
      <c r="A125" s="3" t="s">
        <v>120</v>
      </c>
      <c r="B125" t="s">
        <v>121</v>
      </c>
      <c r="D125" s="14"/>
      <c r="F125" s="14"/>
      <c r="H125" s="28">
        <v>0.2</v>
      </c>
    </row>
    <row r="127" spans="1:8">
      <c r="B127" s="21" t="s">
        <v>60</v>
      </c>
    </row>
    <row r="128" spans="1:8" ht="30" customHeight="1">
      <c r="B128" s="57" t="s">
        <v>122</v>
      </c>
      <c r="C128" s="57"/>
      <c r="D128" s="57"/>
      <c r="E128" s="57"/>
      <c r="F128" s="57"/>
    </row>
    <row r="130" spans="1:8">
      <c r="A130" s="3" t="s">
        <v>123</v>
      </c>
      <c r="B130" t="s">
        <v>90</v>
      </c>
      <c r="D130" s="14"/>
      <c r="F130" s="14"/>
      <c r="H130" s="28">
        <v>0</v>
      </c>
    </row>
    <row r="132" spans="1:8">
      <c r="B132" s="21" t="s">
        <v>60</v>
      </c>
    </row>
    <row r="133" spans="1:8" ht="15" customHeight="1">
      <c r="B133" s="57" t="s">
        <v>91</v>
      </c>
      <c r="C133" s="57"/>
      <c r="D133" s="57"/>
      <c r="E133" s="57"/>
      <c r="F133" s="57"/>
    </row>
    <row r="134" spans="1:8" ht="15" customHeight="1">
      <c r="B134" s="7"/>
      <c r="C134" s="7"/>
      <c r="D134" s="7"/>
      <c r="E134" s="7"/>
      <c r="F134" s="7"/>
    </row>
    <row r="135" spans="1:8">
      <c r="A135" s="9"/>
      <c r="B135" s="8" t="s">
        <v>124</v>
      </c>
      <c r="C135" s="8"/>
      <c r="D135" s="8"/>
      <c r="E135" s="8"/>
      <c r="F135" s="8"/>
      <c r="G135" s="8"/>
      <c r="H135" s="8"/>
    </row>
    <row r="136" spans="1:8">
      <c r="A136" s="3" t="s">
        <v>125</v>
      </c>
      <c r="B136" t="s">
        <v>126</v>
      </c>
      <c r="D136" s="14"/>
      <c r="F136" s="14"/>
      <c r="H136" s="28">
        <v>1</v>
      </c>
    </row>
    <row r="138" spans="1:8">
      <c r="B138" s="21" t="s">
        <v>60</v>
      </c>
    </row>
    <row r="139" spans="1:8" ht="30" customHeight="1">
      <c r="B139" s="57" t="s">
        <v>127</v>
      </c>
      <c r="C139" s="57"/>
      <c r="D139" s="57"/>
      <c r="E139" s="57"/>
      <c r="F139" s="57"/>
    </row>
    <row r="141" spans="1:8" ht="25.5">
      <c r="A141" s="3" t="s">
        <v>128</v>
      </c>
      <c r="B141" t="s">
        <v>129</v>
      </c>
      <c r="D141" s="14"/>
      <c r="F141" s="14"/>
      <c r="H141" s="28">
        <v>0.6</v>
      </c>
    </row>
    <row r="143" spans="1:8">
      <c r="B143" s="21" t="s">
        <v>60</v>
      </c>
    </row>
    <row r="144" spans="1:8" ht="15" customHeight="1">
      <c r="B144" s="57" t="s">
        <v>118</v>
      </c>
      <c r="C144" s="57"/>
      <c r="D144" s="57"/>
      <c r="E144" s="57"/>
      <c r="F144" s="57"/>
    </row>
    <row r="146" spans="1:8" ht="25.5">
      <c r="A146" s="3" t="s">
        <v>130</v>
      </c>
      <c r="B146" t="s">
        <v>131</v>
      </c>
      <c r="D146" s="14"/>
      <c r="F146" s="14"/>
      <c r="H146" s="28">
        <v>0.15</v>
      </c>
    </row>
    <row r="148" spans="1:8">
      <c r="B148" s="21" t="s">
        <v>60</v>
      </c>
    </row>
    <row r="149" spans="1:8" ht="79.900000000000006" customHeight="1">
      <c r="B149" s="57" t="s">
        <v>132</v>
      </c>
      <c r="C149" s="57"/>
      <c r="D149" s="57"/>
      <c r="E149" s="57"/>
      <c r="F149" s="57"/>
    </row>
    <row r="151" spans="1:8">
      <c r="A151" s="3" t="s">
        <v>133</v>
      </c>
      <c r="B151" t="s">
        <v>121</v>
      </c>
      <c r="D151" s="14"/>
      <c r="F151" s="14"/>
      <c r="H151" s="28">
        <v>0.1</v>
      </c>
    </row>
    <row r="153" spans="1:8">
      <c r="B153" s="21" t="s">
        <v>60</v>
      </c>
    </row>
    <row r="154" spans="1:8" ht="30" customHeight="1">
      <c r="B154" s="57" t="s">
        <v>134</v>
      </c>
      <c r="C154" s="57"/>
      <c r="D154" s="57"/>
      <c r="E154" s="57"/>
      <c r="F154" s="57"/>
    </row>
    <row r="156" spans="1:8">
      <c r="A156" s="3" t="s">
        <v>135</v>
      </c>
      <c r="B156" t="s">
        <v>136</v>
      </c>
      <c r="D156" s="14"/>
      <c r="F156" s="14"/>
      <c r="H156" s="28">
        <v>2.5000000000000001E-2</v>
      </c>
    </row>
    <row r="158" spans="1:8">
      <c r="B158" s="21" t="s">
        <v>60</v>
      </c>
    </row>
    <row r="159" spans="1:8" ht="45" customHeight="1">
      <c r="B159" s="57" t="s">
        <v>137</v>
      </c>
      <c r="C159" s="57"/>
      <c r="D159" s="57"/>
      <c r="E159" s="57"/>
      <c r="F159" s="57"/>
    </row>
    <row r="161" spans="1:8">
      <c r="A161" s="3" t="s">
        <v>138</v>
      </c>
      <c r="B161" t="s">
        <v>139</v>
      </c>
      <c r="D161" s="14"/>
      <c r="F161" s="14"/>
      <c r="H161" s="28">
        <v>2.5000000000000001E-2</v>
      </c>
    </row>
    <row r="163" spans="1:8">
      <c r="B163" s="21" t="s">
        <v>60</v>
      </c>
    </row>
    <row r="164" spans="1:8" ht="45" customHeight="1">
      <c r="B164" s="57" t="s">
        <v>140</v>
      </c>
      <c r="C164" s="57"/>
      <c r="D164" s="57"/>
      <c r="E164" s="57"/>
      <c r="F164" s="57"/>
    </row>
    <row r="166" spans="1:8">
      <c r="A166" s="3" t="s">
        <v>141</v>
      </c>
      <c r="B166" t="s">
        <v>142</v>
      </c>
      <c r="D166" s="14"/>
      <c r="F166" s="14"/>
      <c r="H166" s="28">
        <v>0.1</v>
      </c>
    </row>
    <row r="168" spans="1:8">
      <c r="B168" s="21" t="s">
        <v>60</v>
      </c>
    </row>
    <row r="169" spans="1:8" ht="15" customHeight="1">
      <c r="B169" s="57" t="s">
        <v>143</v>
      </c>
      <c r="C169" s="57"/>
      <c r="D169" s="57"/>
      <c r="E169" s="57"/>
      <c r="F169" s="57"/>
    </row>
    <row r="171" spans="1:8">
      <c r="A171" s="3" t="s">
        <v>144</v>
      </c>
      <c r="B171" t="s">
        <v>145</v>
      </c>
      <c r="D171" s="14"/>
      <c r="F171" s="14"/>
      <c r="H171" s="28">
        <v>0</v>
      </c>
    </row>
    <row r="173" spans="1:8">
      <c r="B173" s="21" t="s">
        <v>60</v>
      </c>
    </row>
    <row r="174" spans="1:8">
      <c r="B174" s="57" t="s">
        <v>91</v>
      </c>
      <c r="C174" s="57"/>
      <c r="D174" s="57"/>
      <c r="E174" s="57"/>
      <c r="F174" s="57"/>
    </row>
    <row r="175" spans="1:8" ht="15" customHeight="1">
      <c r="B175" s="7"/>
      <c r="C175" s="7"/>
      <c r="D175" s="7"/>
      <c r="E175" s="7"/>
      <c r="F175" s="7"/>
    </row>
    <row r="176" spans="1:8">
      <c r="A176" s="9"/>
      <c r="B176" s="8" t="s">
        <v>146</v>
      </c>
      <c r="C176" s="8"/>
      <c r="D176" s="8"/>
      <c r="E176" s="8"/>
      <c r="F176" s="8"/>
      <c r="G176" s="8"/>
      <c r="H176" s="8"/>
    </row>
    <row r="177" spans="1:8">
      <c r="A177" s="3" t="s">
        <v>147</v>
      </c>
      <c r="B177" t="s">
        <v>148</v>
      </c>
      <c r="D177" s="14"/>
      <c r="F177" s="14"/>
      <c r="H177" s="28">
        <v>1</v>
      </c>
    </row>
    <row r="179" spans="1:8">
      <c r="B179" s="21" t="s">
        <v>60</v>
      </c>
    </row>
    <row r="180" spans="1:8" ht="30" customHeight="1">
      <c r="B180" s="57" t="s">
        <v>149</v>
      </c>
      <c r="C180" s="57"/>
      <c r="D180" s="57"/>
      <c r="E180" s="57"/>
      <c r="F180" s="57"/>
    </row>
    <row r="181" spans="1:8">
      <c r="F181" s="6" t="s">
        <v>150</v>
      </c>
    </row>
  </sheetData>
  <sheetProtection algorithmName="SHA-1" hashValue="+WsC1/9+QW4V9s55+rqMocEu9+k=" saltValue="geTfeUNPVM1ZCf+5Y99cNA==" spinCount="100000" sheet="1" objects="1" scenarios="1"/>
  <mergeCells count="34">
    <mergeCell ref="B164:F164"/>
    <mergeCell ref="B169:F169"/>
    <mergeCell ref="B174:F174"/>
    <mergeCell ref="B180:F180"/>
    <mergeCell ref="B139:F139"/>
    <mergeCell ref="B144:F144"/>
    <mergeCell ref="B149:F149"/>
    <mergeCell ref="B154:F154"/>
    <mergeCell ref="B159:F159"/>
    <mergeCell ref="B113:F113"/>
    <mergeCell ref="B118:F118"/>
    <mergeCell ref="B123:F123"/>
    <mergeCell ref="B128:F128"/>
    <mergeCell ref="B133:F133"/>
    <mergeCell ref="B86:F86"/>
    <mergeCell ref="B92:F92"/>
    <mergeCell ref="B97:F97"/>
    <mergeCell ref="B102:F102"/>
    <mergeCell ref="B107:F107"/>
    <mergeCell ref="B60:F60"/>
    <mergeCell ref="B65:F65"/>
    <mergeCell ref="B71:F71"/>
    <mergeCell ref="B76:F76"/>
    <mergeCell ref="B81:F81"/>
    <mergeCell ref="B35:F35"/>
    <mergeCell ref="B40:F40"/>
    <mergeCell ref="B45:F45"/>
    <mergeCell ref="B50:F50"/>
    <mergeCell ref="B55:F55"/>
    <mergeCell ref="B6:F6"/>
    <mergeCell ref="B15:F15"/>
    <mergeCell ref="B20:F20"/>
    <mergeCell ref="B25:F25"/>
    <mergeCell ref="B30:F30"/>
  </mergeCells>
  <dataValidations count="33">
    <dataValidation type="list" allowBlank="1" showInputMessage="1" showErrorMessage="1" sqref="D68" xr:uid="{4863FE1A-6434-B04B-9365-25FB5ACD5D83}">
      <formula1>R.TNSP.0</formula1>
    </dataValidation>
    <dataValidation type="list" allowBlank="1" showInputMessage="1" showErrorMessage="1" sqref="D73" xr:uid="{8AE50BF4-D9EB-FB4A-8EA0-972979E31A9F}">
      <formula1>R.TNSP.1</formula1>
    </dataValidation>
    <dataValidation type="list" allowBlank="1" showInputMessage="1" showErrorMessage="1" sqref="D78" xr:uid="{4F3017FB-691E-FC46-A028-CFF2A66ACD15}">
      <formula1>R.TNSP.2</formula1>
    </dataValidation>
    <dataValidation type="list" allowBlank="1" showInputMessage="1" showErrorMessage="1" sqref="D12" xr:uid="{97B61812-2566-6A4C-834A-0C3357FDFF79}">
      <formula1>R.GEN.0</formula1>
    </dataValidation>
    <dataValidation type="list" allowBlank="1" showInputMessage="1" showErrorMessage="1" sqref="D17" xr:uid="{38548955-C82E-234D-B5F7-89F986279023}">
      <formula1>R.GEN.1</formula1>
    </dataValidation>
    <dataValidation type="list" allowBlank="1" showInputMessage="1" showErrorMessage="1" sqref="D22" xr:uid="{3F5E0A96-FFA4-C34B-AF98-4E23C485FB30}">
      <formula1>R.GEN.2</formula1>
    </dataValidation>
    <dataValidation type="list" allowBlank="1" showInputMessage="1" showErrorMessage="1" sqref="D27" xr:uid="{87FDBD6D-9BAF-554F-8F99-97F496E90BC5}">
      <formula1>R.GEN.3</formula1>
    </dataValidation>
    <dataValidation type="list" allowBlank="1" showInputMessage="1" showErrorMessage="1" sqref="D32" xr:uid="{2B88A0DE-93FE-1944-82E6-B555C9FB83EF}">
      <formula1>R.GEN.4</formula1>
    </dataValidation>
    <dataValidation type="list" allowBlank="1" showInputMessage="1" showErrorMessage="1" sqref="D37" xr:uid="{0667E9F1-2E47-A044-A0D4-68E06ED95927}">
      <formula1>R.GEN.5</formula1>
    </dataValidation>
    <dataValidation type="list" allowBlank="1" showInputMessage="1" showErrorMessage="1" sqref="D42" xr:uid="{422FE225-EF72-AC4D-9A45-564578220978}">
      <formula1>R.GEN.6</formula1>
    </dataValidation>
    <dataValidation type="list" allowBlank="1" showInputMessage="1" showErrorMessage="1" sqref="D47" xr:uid="{A88BA111-40A3-C34F-9A41-E3E8A328ED73}">
      <formula1>R.GEN.6.1</formula1>
    </dataValidation>
    <dataValidation type="list" allowBlank="1" showInputMessage="1" showErrorMessage="1" sqref="D52" xr:uid="{7F344336-D1C7-8642-BD23-522F5FC1BCD7}">
      <formula1>R.GEN.7</formula1>
    </dataValidation>
    <dataValidation type="list" allowBlank="1" showInputMessage="1" showErrorMessage="1" sqref="D57" xr:uid="{A39012A6-C5E5-334E-A736-1E868CDD0B43}">
      <formula1>R.GEN.8</formula1>
    </dataValidation>
    <dataValidation type="list" allowBlank="1" showInputMessage="1" showErrorMessage="1" sqref="D62" xr:uid="{6692D3FD-38C3-7E43-BFB1-E3982E472CA9}">
      <formula1>R.GEN.9</formula1>
    </dataValidation>
    <dataValidation type="list" allowBlank="1" showInputMessage="1" showErrorMessage="1" sqref="D83" xr:uid="{552DA5E8-FF8E-804A-A549-EAEF2F78BEE3}">
      <formula1>R.TNSP.3</formula1>
    </dataValidation>
    <dataValidation type="list" allowBlank="1" showInputMessage="1" showErrorMessage="1" sqref="D89" xr:uid="{80098EFE-2E2C-A442-9900-F4A38C7CFA59}">
      <formula1>R.IC.0</formula1>
    </dataValidation>
    <dataValidation type="list" allowBlank="1" showInputMessage="1" showErrorMessage="1" sqref="D94" xr:uid="{643CB352-40EC-7A47-8BCD-75B50092B334}">
      <formula1>R.IC.1</formula1>
    </dataValidation>
    <dataValidation type="list" allowBlank="1" showInputMessage="1" showErrorMessage="1" sqref="D99" xr:uid="{C28F8D60-EBCD-964C-A26E-783589199391}">
      <formula1>R.IC.2</formula1>
    </dataValidation>
    <dataValidation type="list" allowBlank="1" showInputMessage="1" showErrorMessage="1" sqref="D104" xr:uid="{608CAB56-A939-8E41-BE88-7DCBB7A0E788}">
      <formula1>R.IC.3</formula1>
    </dataValidation>
    <dataValidation type="list" allowBlank="1" showInputMessage="1" showErrorMessage="1" sqref="D110" xr:uid="{B3CE9FB8-4F84-804A-A0AB-019A559C2B2F}">
      <formula1>R.DNSP.0</formula1>
    </dataValidation>
    <dataValidation type="list" allowBlank="1" showInputMessage="1" showErrorMessage="1" sqref="D115" xr:uid="{7824EE2B-D461-004A-A4C4-4CE352876876}">
      <formula1>R.DNSP.1</formula1>
    </dataValidation>
    <dataValidation type="list" allowBlank="1" showInputMessage="1" showErrorMessage="1" sqref="D120" xr:uid="{E61C177C-5762-D34E-B85F-FFF9F1D36C48}">
      <formula1>R.DNSP.2</formula1>
    </dataValidation>
    <dataValidation type="list" allowBlank="1" showInputMessage="1" showErrorMessage="1" sqref="D125" xr:uid="{6979AB10-0498-7445-8DBA-D5D89005787C}">
      <formula1>R.DNSP.3</formula1>
    </dataValidation>
    <dataValidation type="list" allowBlank="1" showInputMessage="1" showErrorMessage="1" sqref="D130" xr:uid="{6FAE0396-8666-6C45-9DDF-B02D6363681D}">
      <formula1>R.DNSP.4</formula1>
    </dataValidation>
    <dataValidation type="list" allowBlank="1" showInputMessage="1" showErrorMessage="1" sqref="D136" xr:uid="{2CEAD6F7-7AA7-624F-8593-9C63FA5C6C77}">
      <formula1>R.RET.0</formula1>
    </dataValidation>
    <dataValidation type="list" allowBlank="1" showInputMessage="1" showErrorMessage="1" sqref="D141" xr:uid="{A05FB5C8-7544-5D41-8A0E-774131B271A4}">
      <formula1>R.RET.1</formula1>
    </dataValidation>
    <dataValidation type="list" allowBlank="1" showInputMessage="1" showErrorMessage="1" sqref="D146" xr:uid="{15565FCA-D0B0-FE41-87FA-C61700AA0CF7}">
      <formula1>R.RET.2</formula1>
    </dataValidation>
    <dataValidation type="list" allowBlank="1" showInputMessage="1" showErrorMessage="1" sqref="D151" xr:uid="{0C81D1A6-FE04-7240-9B7D-027180A1446B}">
      <formula1>R.RET.3</formula1>
    </dataValidation>
    <dataValidation type="list" allowBlank="1" showInputMessage="1" showErrorMessage="1" sqref="D156" xr:uid="{8EBAFD63-0124-484D-8904-474018649B1D}">
      <formula1>R.RET.4</formula1>
    </dataValidation>
    <dataValidation type="list" allowBlank="1" showInputMessage="1" showErrorMessage="1" sqref="D161" xr:uid="{858BBBDD-04B3-E040-927E-D5B31AE4CD99}">
      <formula1>R.RET.5</formula1>
    </dataValidation>
    <dataValidation type="list" allowBlank="1" showInputMessage="1" showErrorMessage="1" sqref="D166" xr:uid="{EA7960DC-23B0-C641-83CB-8F4D7464FE81}">
      <formula1>R.RET.6</formula1>
    </dataValidation>
    <dataValidation type="list" allowBlank="1" showInputMessage="1" showErrorMessage="1" sqref="D171" xr:uid="{ACF0062F-CCE9-A14E-BF79-600ACDE826F5}">
      <formula1>R.RET.7</formula1>
    </dataValidation>
    <dataValidation type="list" allowBlank="1" showInputMessage="1" showErrorMessage="1" sqref="D177" xr:uid="{429DABE0-23D0-8441-AD13-EB1BEB13D630}">
      <formula1>R.OPS.0</formula1>
    </dataValidation>
  </dataValidations>
  <hyperlinks>
    <hyperlink ref="A1" location="Home!G14" tooltip="Click here to return Home" display="Home" xr:uid="{C588A6EE-EA32-6849-98BA-D8BD8FC6359C}"/>
    <hyperlink ref="F181" location="'E-CAT'!A11" tooltip="Go to Top" display="Go to Top" xr:uid="{6E527B07-B9BF-974B-8624-0FC297747F93}"/>
  </hyperlinks>
  <pageMargins left="0.7" right="0.7" top="0.75" bottom="0.75" header="0.3" footer="0.3"/>
  <pageSetup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dimension ref="B2:AA128"/>
  <sheetViews>
    <sheetView topLeftCell="X46" zoomScale="120" zoomScaleNormal="120" workbookViewId="0">
      <selection activeCell="Y61" sqref="Y61"/>
    </sheetView>
  </sheetViews>
  <sheetFormatPr defaultColWidth="6" defaultRowHeight="12.75"/>
  <cols>
    <col min="1" max="1" width="2" customWidth="1"/>
    <col min="2" max="2" width="41" customWidth="1"/>
    <col min="3" max="3" width="2" customWidth="1"/>
    <col min="4" max="4" width="41" customWidth="1"/>
    <col min="5" max="5" width="2" customWidth="1"/>
    <col min="6" max="6" width="41" customWidth="1"/>
    <col min="7" max="7" width="2" customWidth="1"/>
    <col min="8" max="8" width="41" customWidth="1"/>
    <col min="9" max="9" width="2" customWidth="1"/>
    <col min="10" max="11" width="31" customWidth="1"/>
    <col min="12" max="12" width="2" customWidth="1"/>
    <col min="13" max="13" width="41" customWidth="1"/>
    <col min="14" max="14" width="2" customWidth="1"/>
    <col min="15" max="15" width="41" customWidth="1"/>
    <col min="16" max="16" width="2" customWidth="1"/>
    <col min="17" max="17" width="41" customWidth="1"/>
    <col min="18" max="18" width="2" customWidth="1"/>
    <col min="19" max="19" width="41" customWidth="1"/>
    <col min="20" max="20" width="2" customWidth="1"/>
    <col min="21" max="21" width="41" customWidth="1"/>
    <col min="22" max="22" width="2" customWidth="1"/>
    <col min="23" max="23" width="41" customWidth="1"/>
    <col min="24" max="24" width="2" customWidth="1"/>
    <col min="25" max="25" width="41" customWidth="1"/>
    <col min="26" max="26" width="2" customWidth="1"/>
    <col min="27" max="27" width="41" customWidth="1"/>
  </cols>
  <sheetData>
    <row r="2" spans="2:27" ht="13.5" thickBot="1">
      <c r="B2" s="30" t="s">
        <v>1887</v>
      </c>
      <c r="D2" s="30" t="s">
        <v>1888</v>
      </c>
      <c r="F2" s="30" t="s">
        <v>1731</v>
      </c>
      <c r="H2" s="30" t="s">
        <v>1732</v>
      </c>
      <c r="J2" s="61" t="s">
        <v>1676</v>
      </c>
      <c r="K2" s="62"/>
      <c r="M2" s="30" t="s">
        <v>1889</v>
      </c>
      <c r="O2" s="30" t="s">
        <v>1764</v>
      </c>
      <c r="Q2" s="30" t="s">
        <v>1890</v>
      </c>
      <c r="S2" s="30" t="s">
        <v>1806</v>
      </c>
      <c r="U2" s="30" t="s">
        <v>1830</v>
      </c>
      <c r="W2" s="30" t="str">
        <f>"A"&amp; MID(U2,2,100)</f>
        <v>A.L_EXTR.0</v>
      </c>
      <c r="Y2" s="30" t="s">
        <v>1861</v>
      </c>
      <c r="AA2" s="30" t="str">
        <f>"A"&amp; MID(Y2,2,100)</f>
        <v>A.L_RFIN.0</v>
      </c>
    </row>
    <row r="3" spans="2:27">
      <c r="B3" s="1" t="s">
        <v>491</v>
      </c>
      <c r="D3" s="1" t="s">
        <v>1891</v>
      </c>
      <c r="F3" s="1" t="s">
        <v>406</v>
      </c>
      <c r="H3" s="1">
        <v>50</v>
      </c>
      <c r="J3" s="1" t="s">
        <v>1892</v>
      </c>
      <c r="K3" s="1">
        <v>0</v>
      </c>
      <c r="M3" s="1" t="s">
        <v>406</v>
      </c>
      <c r="O3" s="1">
        <v>20</v>
      </c>
      <c r="Q3" s="1" t="s">
        <v>406</v>
      </c>
      <c r="S3" s="1">
        <v>50</v>
      </c>
      <c r="U3" s="1" t="s">
        <v>406</v>
      </c>
      <c r="W3" s="1">
        <v>20</v>
      </c>
      <c r="Y3" s="1" t="s">
        <v>406</v>
      </c>
      <c r="AA3" s="1">
        <v>40</v>
      </c>
    </row>
    <row r="4" spans="2:27">
      <c r="B4" s="1" t="s">
        <v>1893</v>
      </c>
      <c r="D4" s="1" t="s">
        <v>406</v>
      </c>
      <c r="F4" s="1" t="s">
        <v>1891</v>
      </c>
      <c r="H4" s="1">
        <v>0</v>
      </c>
      <c r="J4" s="1" t="s">
        <v>1894</v>
      </c>
      <c r="K4" s="1">
        <v>0</v>
      </c>
      <c r="M4" s="1" t="s">
        <v>1891</v>
      </c>
      <c r="O4" s="1">
        <v>0</v>
      </c>
      <c r="Q4" s="1" t="s">
        <v>1891</v>
      </c>
      <c r="S4" s="1">
        <v>0</v>
      </c>
      <c r="U4" s="1" t="s">
        <v>1891</v>
      </c>
      <c r="W4" s="1">
        <v>0</v>
      </c>
      <c r="Y4" s="1" t="s">
        <v>1891</v>
      </c>
      <c r="AA4" s="1">
        <v>0</v>
      </c>
    </row>
    <row r="5" spans="2:27">
      <c r="B5" s="1" t="s">
        <v>1895</v>
      </c>
      <c r="J5" s="1" t="s">
        <v>1896</v>
      </c>
      <c r="K5" s="1">
        <v>1</v>
      </c>
    </row>
    <row r="6" spans="2:27" ht="13.5" thickBot="1">
      <c r="B6" s="1" t="s">
        <v>1897</v>
      </c>
      <c r="D6" s="30" t="s">
        <v>1898</v>
      </c>
      <c r="F6" s="30" t="s">
        <v>1733</v>
      </c>
      <c r="H6" s="30" t="s">
        <v>1734</v>
      </c>
      <c r="J6" s="1" t="s">
        <v>410</v>
      </c>
      <c r="K6" s="1">
        <v>1</v>
      </c>
      <c r="M6" s="30" t="s">
        <v>1899</v>
      </c>
      <c r="O6" s="30" t="s">
        <v>1766</v>
      </c>
      <c r="Q6" s="30" t="s">
        <v>1900</v>
      </c>
      <c r="S6" s="30" t="s">
        <v>1808</v>
      </c>
      <c r="U6" s="30" t="s">
        <v>1832</v>
      </c>
      <c r="W6" s="30" t="str">
        <f>"A"&amp; MID(U6,2,100)</f>
        <v>A.L_EXTR.1</v>
      </c>
      <c r="Y6" s="30" t="s">
        <v>1863</v>
      </c>
      <c r="AA6" s="30" t="str">
        <f>"A"&amp; MID(Y6,2,100)</f>
        <v>A.L_RFIN.1</v>
      </c>
    </row>
    <row r="7" spans="2:27">
      <c r="B7" s="1" t="s">
        <v>1901</v>
      </c>
      <c r="D7" s="1" t="s">
        <v>1892</v>
      </c>
      <c r="F7" s="1" t="s">
        <v>1902</v>
      </c>
      <c r="H7" s="31">
        <v>0</v>
      </c>
      <c r="J7" s="1" t="s">
        <v>1891</v>
      </c>
      <c r="K7" s="1">
        <v>0</v>
      </c>
      <c r="M7" s="1" t="s">
        <v>1903</v>
      </c>
      <c r="O7" s="31">
        <v>0</v>
      </c>
      <c r="Q7" s="1" t="s">
        <v>1904</v>
      </c>
      <c r="S7" s="31">
        <v>0</v>
      </c>
      <c r="U7" s="1" t="s">
        <v>1905</v>
      </c>
      <c r="W7" s="31">
        <v>0</v>
      </c>
      <c r="Y7" s="1" t="s">
        <v>1906</v>
      </c>
      <c r="AA7" s="31">
        <v>0</v>
      </c>
    </row>
    <row r="8" spans="2:27">
      <c r="B8" s="1" t="s">
        <v>1907</v>
      </c>
      <c r="D8" s="1" t="s">
        <v>1894</v>
      </c>
      <c r="F8" s="1" t="s">
        <v>1908</v>
      </c>
      <c r="H8" s="31">
        <f>1/4</f>
        <v>0.25</v>
      </c>
      <c r="J8" s="1" t="s">
        <v>406</v>
      </c>
      <c r="K8" s="1">
        <v>1</v>
      </c>
      <c r="M8" s="1" t="s">
        <v>1909</v>
      </c>
      <c r="O8" s="31">
        <f>1/4</f>
        <v>0.25</v>
      </c>
      <c r="Q8" s="1" t="s">
        <v>1910</v>
      </c>
      <c r="S8" s="31">
        <f>1/4</f>
        <v>0.25</v>
      </c>
      <c r="U8" s="1" t="s">
        <v>1911</v>
      </c>
      <c r="W8" s="31">
        <f>1/4</f>
        <v>0.25</v>
      </c>
      <c r="Y8" s="1" t="s">
        <v>1912</v>
      </c>
      <c r="AA8" s="31">
        <f>1/2</f>
        <v>0.5</v>
      </c>
    </row>
    <row r="9" spans="2:27">
      <c r="B9" s="1" t="s">
        <v>495</v>
      </c>
      <c r="D9" s="1" t="s">
        <v>1896</v>
      </c>
      <c r="F9" s="1" t="s">
        <v>1913</v>
      </c>
      <c r="H9" s="31">
        <f>1/2</f>
        <v>0.5</v>
      </c>
      <c r="J9" s="1" t="s">
        <v>491</v>
      </c>
      <c r="K9" s="1">
        <v>1</v>
      </c>
      <c r="M9" s="1" t="s">
        <v>1914</v>
      </c>
      <c r="O9" s="31">
        <f>2/4</f>
        <v>0.5</v>
      </c>
      <c r="Q9" s="1" t="s">
        <v>1915</v>
      </c>
      <c r="S9" s="31">
        <f>2/4</f>
        <v>0.5</v>
      </c>
      <c r="U9" s="1" t="s">
        <v>1916</v>
      </c>
      <c r="W9" s="31">
        <f>2/4</f>
        <v>0.5</v>
      </c>
      <c r="Y9" s="1" t="s">
        <v>1917</v>
      </c>
      <c r="AA9" s="31">
        <v>1</v>
      </c>
    </row>
    <row r="10" spans="2:27">
      <c r="B10" s="1" t="s">
        <v>1918</v>
      </c>
      <c r="D10" s="1" t="s">
        <v>410</v>
      </c>
      <c r="F10" s="1" t="s">
        <v>1919</v>
      </c>
      <c r="H10" s="31">
        <f>3/4</f>
        <v>0.75</v>
      </c>
      <c r="J10" s="1" t="s">
        <v>1893</v>
      </c>
      <c r="K10" s="1">
        <v>0</v>
      </c>
      <c r="M10" s="1" t="s">
        <v>1920</v>
      </c>
      <c r="O10" s="31">
        <f>3/4</f>
        <v>0.75</v>
      </c>
      <c r="Q10" s="1" t="s">
        <v>1921</v>
      </c>
      <c r="S10" s="31">
        <f>3/4</f>
        <v>0.75</v>
      </c>
      <c r="U10" s="1" t="s">
        <v>1922</v>
      </c>
      <c r="W10" s="31">
        <f>3/4</f>
        <v>0.75</v>
      </c>
      <c r="Y10" s="1" t="s">
        <v>1923</v>
      </c>
      <c r="AA10" s="31">
        <v>1</v>
      </c>
    </row>
    <row r="11" spans="2:27">
      <c r="B11" s="1" t="s">
        <v>1924</v>
      </c>
      <c r="F11" s="1" t="s">
        <v>1925</v>
      </c>
      <c r="H11" s="31">
        <v>1</v>
      </c>
      <c r="J11" s="1" t="s">
        <v>1895</v>
      </c>
      <c r="K11" s="1">
        <v>0</v>
      </c>
      <c r="M11" s="1" t="s">
        <v>1926</v>
      </c>
      <c r="O11" s="31">
        <v>1</v>
      </c>
      <c r="Q11" s="1" t="s">
        <v>1927</v>
      </c>
      <c r="S11" s="31">
        <v>1</v>
      </c>
      <c r="U11" s="1" t="s">
        <v>1928</v>
      </c>
      <c r="W11" s="31">
        <v>1</v>
      </c>
    </row>
    <row r="12" spans="2:27" ht="13.5" thickBot="1">
      <c r="F12" s="1" t="s">
        <v>1929</v>
      </c>
      <c r="H12" s="31">
        <v>1</v>
      </c>
      <c r="J12" s="1" t="s">
        <v>1897</v>
      </c>
      <c r="K12" s="1">
        <v>0</v>
      </c>
      <c r="M12" s="1" t="s">
        <v>1929</v>
      </c>
      <c r="O12" s="31">
        <v>1</v>
      </c>
      <c r="Q12" s="1" t="s">
        <v>1929</v>
      </c>
      <c r="S12" s="31">
        <v>1</v>
      </c>
      <c r="U12" s="1" t="s">
        <v>1923</v>
      </c>
      <c r="W12" s="31">
        <v>1</v>
      </c>
      <c r="Y12" s="30" t="s">
        <v>1865</v>
      </c>
      <c r="AA12" s="30" t="str">
        <f>"A"&amp; MID(Y12,2,100)</f>
        <v>A.L_RFIN.2</v>
      </c>
    </row>
    <row r="13" spans="2:27" ht="13.5" thickBot="1">
      <c r="B13" s="30" t="s">
        <v>1709</v>
      </c>
      <c r="D13" s="30" t="s">
        <v>1710</v>
      </c>
      <c r="J13" s="1" t="s">
        <v>1901</v>
      </c>
      <c r="K13" s="1">
        <v>0</v>
      </c>
      <c r="Y13" s="1" t="s">
        <v>1930</v>
      </c>
      <c r="AA13" s="31">
        <v>0</v>
      </c>
    </row>
    <row r="14" spans="2:27" ht="13.5" thickBot="1">
      <c r="B14" s="1" t="s">
        <v>406</v>
      </c>
      <c r="D14" s="1">
        <v>80</v>
      </c>
      <c r="F14" s="30" t="s">
        <v>1735</v>
      </c>
      <c r="H14" s="30" t="s">
        <v>1736</v>
      </c>
      <c r="J14" s="1" t="s">
        <v>1907</v>
      </c>
      <c r="K14" s="1">
        <v>0</v>
      </c>
      <c r="M14" s="30" t="s">
        <v>1931</v>
      </c>
      <c r="O14" s="30" t="s">
        <v>1769</v>
      </c>
      <c r="Q14" s="30" t="s">
        <v>1932</v>
      </c>
      <c r="S14" s="30" t="s">
        <v>1810</v>
      </c>
      <c r="U14" s="30" t="s">
        <v>1835</v>
      </c>
      <c r="W14" s="30" t="str">
        <f>"A"&amp; MID(U14,2,100)</f>
        <v>A.L_TRAN.0</v>
      </c>
      <c r="Y14" s="1" t="s">
        <v>1933</v>
      </c>
      <c r="AA14" s="31">
        <f>1/3</f>
        <v>0.33333333333333331</v>
      </c>
    </row>
    <row r="15" spans="2:27">
      <c r="B15" s="1" t="s">
        <v>1891</v>
      </c>
      <c r="D15" s="1">
        <v>0</v>
      </c>
      <c r="F15" s="1" t="s">
        <v>1934</v>
      </c>
      <c r="H15" s="31">
        <v>0</v>
      </c>
      <c r="J15" s="1" t="s">
        <v>495</v>
      </c>
      <c r="K15" s="1">
        <v>0</v>
      </c>
      <c r="M15" s="1" t="s">
        <v>406</v>
      </c>
      <c r="O15" s="1">
        <v>1</v>
      </c>
      <c r="Q15" s="1" t="s">
        <v>1935</v>
      </c>
      <c r="S15" s="31">
        <v>0</v>
      </c>
      <c r="U15" s="1" t="s">
        <v>406</v>
      </c>
      <c r="W15" s="1">
        <v>24</v>
      </c>
      <c r="Y15" s="1" t="s">
        <v>1936</v>
      </c>
      <c r="AA15" s="31">
        <f>2/3</f>
        <v>0.66666666666666663</v>
      </c>
    </row>
    <row r="16" spans="2:27">
      <c r="F16" s="1" t="s">
        <v>1937</v>
      </c>
      <c r="H16" s="31">
        <f>1/3</f>
        <v>0.33333333333333331</v>
      </c>
      <c r="J16" s="1" t="s">
        <v>1918</v>
      </c>
      <c r="K16" s="1">
        <v>0</v>
      </c>
      <c r="M16" s="1" t="s">
        <v>1891</v>
      </c>
      <c r="O16" s="1">
        <v>0</v>
      </c>
      <c r="Q16" s="1" t="s">
        <v>1938</v>
      </c>
      <c r="S16" s="31">
        <f>1/4</f>
        <v>0.25</v>
      </c>
      <c r="U16" s="1" t="s">
        <v>1891</v>
      </c>
      <c r="W16" s="1">
        <v>0</v>
      </c>
      <c r="Y16" s="1" t="s">
        <v>1939</v>
      </c>
      <c r="AA16" s="31">
        <v>1</v>
      </c>
    </row>
    <row r="17" spans="2:27" ht="13.5" thickBot="1">
      <c r="B17" s="30" t="s">
        <v>1711</v>
      </c>
      <c r="D17" s="30" t="s">
        <v>1712</v>
      </c>
      <c r="F17" s="1" t="s">
        <v>1940</v>
      </c>
      <c r="H17" s="31">
        <f>2/3</f>
        <v>0.66666666666666663</v>
      </c>
      <c r="J17" s="1" t="s">
        <v>1924</v>
      </c>
      <c r="K17" s="1">
        <v>0</v>
      </c>
      <c r="Q17" s="1" t="s">
        <v>1941</v>
      </c>
      <c r="S17" s="31">
        <f>2/4</f>
        <v>0.5</v>
      </c>
      <c r="Y17" s="1" t="s">
        <v>1923</v>
      </c>
      <c r="AA17" s="31">
        <v>1</v>
      </c>
    </row>
    <row r="18" spans="2:27" ht="13.5" thickBot="1">
      <c r="B18" s="1" t="s">
        <v>1934</v>
      </c>
      <c r="D18" s="31">
        <v>0</v>
      </c>
      <c r="F18" s="1" t="s">
        <v>1942</v>
      </c>
      <c r="H18" s="31">
        <v>1</v>
      </c>
      <c r="M18" s="30" t="s">
        <v>1943</v>
      </c>
      <c r="O18" s="30" t="s">
        <v>1772</v>
      </c>
      <c r="Q18" s="1" t="s">
        <v>1944</v>
      </c>
      <c r="S18" s="31">
        <f>3/4</f>
        <v>0.75</v>
      </c>
      <c r="U18" s="30" t="s">
        <v>1838</v>
      </c>
      <c r="W18" s="30" t="str">
        <f>"A"&amp; MID(U18,2,100)</f>
        <v>A.L_TRAN.1</v>
      </c>
    </row>
    <row r="19" spans="2:27" ht="13.5" thickBot="1">
      <c r="B19" s="1" t="s">
        <v>1945</v>
      </c>
      <c r="D19" s="31">
        <f>1/3</f>
        <v>0.33333333333333331</v>
      </c>
      <c r="F19" s="1" t="s">
        <v>1929</v>
      </c>
      <c r="H19" s="31">
        <v>1</v>
      </c>
      <c r="J19" s="61" t="s">
        <v>1946</v>
      </c>
      <c r="K19" s="62"/>
      <c r="M19" s="1" t="s">
        <v>1947</v>
      </c>
      <c r="O19" s="31">
        <v>0</v>
      </c>
      <c r="Q19" s="1" t="s">
        <v>1948</v>
      </c>
      <c r="S19" s="31">
        <v>1</v>
      </c>
      <c r="U19" s="1" t="s">
        <v>1930</v>
      </c>
      <c r="W19" s="31">
        <v>0</v>
      </c>
      <c r="Y19" s="30" t="s">
        <v>1867</v>
      </c>
      <c r="AA19" s="30" t="str">
        <f>"A"&amp; MID(Y19,2,100)</f>
        <v>A.L_RFIN.3</v>
      </c>
    </row>
    <row r="20" spans="2:27">
      <c r="B20" s="1" t="s">
        <v>1949</v>
      </c>
      <c r="D20" s="31">
        <f>2/3</f>
        <v>0.66666666666666663</v>
      </c>
      <c r="J20" s="31">
        <v>0</v>
      </c>
      <c r="K20" s="1" t="s">
        <v>1950</v>
      </c>
      <c r="M20" s="1" t="s">
        <v>1951</v>
      </c>
      <c r="O20" s="31">
        <f>1/4</f>
        <v>0.25</v>
      </c>
      <c r="Q20" s="1" t="s">
        <v>1929</v>
      </c>
      <c r="S20" s="31">
        <v>1</v>
      </c>
      <c r="U20" s="1" t="s">
        <v>1952</v>
      </c>
      <c r="W20" s="31">
        <f>1/4</f>
        <v>0.25</v>
      </c>
      <c r="Y20" s="1" t="s">
        <v>1953</v>
      </c>
      <c r="AA20" s="1">
        <v>0</v>
      </c>
    </row>
    <row r="21" spans="2:27" ht="13.5" thickBot="1">
      <c r="B21" s="1" t="s">
        <v>1954</v>
      </c>
      <c r="D21" s="31">
        <v>1</v>
      </c>
      <c r="F21" s="30" t="s">
        <v>1738</v>
      </c>
      <c r="H21" s="30" t="s">
        <v>1739</v>
      </c>
      <c r="J21" s="31">
        <f>1/3</f>
        <v>0.33333333333333331</v>
      </c>
      <c r="K21" s="1" t="s">
        <v>1955</v>
      </c>
      <c r="M21" s="1" t="s">
        <v>1956</v>
      </c>
      <c r="O21" s="31">
        <f>2/4</f>
        <v>0.5</v>
      </c>
      <c r="U21" s="1" t="s">
        <v>1957</v>
      </c>
      <c r="W21" s="31">
        <f>2/4</f>
        <v>0.5</v>
      </c>
      <c r="Y21" s="1" t="s">
        <v>1958</v>
      </c>
      <c r="AA21" s="1">
        <v>0</v>
      </c>
    </row>
    <row r="22" spans="2:27" ht="13.5" thickBot="1">
      <c r="B22" s="1" t="s">
        <v>1929</v>
      </c>
      <c r="D22" s="31">
        <v>1</v>
      </c>
      <c r="F22" s="1" t="s">
        <v>1959</v>
      </c>
      <c r="H22" s="31">
        <v>0</v>
      </c>
      <c r="J22" s="31">
        <f>2/3</f>
        <v>0.66666666666666663</v>
      </c>
      <c r="K22" s="1" t="s">
        <v>1960</v>
      </c>
      <c r="M22" s="1" t="s">
        <v>1961</v>
      </c>
      <c r="O22" s="31">
        <f>3/4</f>
        <v>0.75</v>
      </c>
      <c r="Q22" s="30" t="s">
        <v>1962</v>
      </c>
      <c r="S22" s="30" t="s">
        <v>1812</v>
      </c>
      <c r="U22" s="1" t="s">
        <v>1963</v>
      </c>
      <c r="W22" s="31">
        <f>3/4</f>
        <v>0.75</v>
      </c>
      <c r="Y22" s="1" t="s">
        <v>1964</v>
      </c>
      <c r="AA22" s="1">
        <v>0</v>
      </c>
    </row>
    <row r="23" spans="2:27">
      <c r="F23" s="1" t="s">
        <v>1965</v>
      </c>
      <c r="H23" s="31">
        <f>1/3</f>
        <v>0.33333333333333331</v>
      </c>
      <c r="M23" s="1" t="s">
        <v>1966</v>
      </c>
      <c r="O23" s="31">
        <v>1</v>
      </c>
      <c r="Q23" s="1" t="s">
        <v>406</v>
      </c>
      <c r="S23" s="1">
        <v>1</v>
      </c>
      <c r="U23" s="1" t="s">
        <v>1967</v>
      </c>
      <c r="W23" s="31">
        <v>1</v>
      </c>
      <c r="Y23" s="1" t="s">
        <v>1968</v>
      </c>
      <c r="AA23" s="1">
        <v>0</v>
      </c>
    </row>
    <row r="24" spans="2:27" ht="13.5" thickBot="1">
      <c r="B24" s="30" t="s">
        <v>1715</v>
      </c>
      <c r="D24" s="30" t="s">
        <v>1716</v>
      </c>
      <c r="F24" s="1" t="s">
        <v>1969</v>
      </c>
      <c r="H24" s="31">
        <f>2/3</f>
        <v>0.66666666666666663</v>
      </c>
      <c r="M24" s="1" t="s">
        <v>1929</v>
      </c>
      <c r="O24" s="31">
        <v>1</v>
      </c>
      <c r="Q24" s="1" t="s">
        <v>1891</v>
      </c>
      <c r="S24" s="1">
        <v>0</v>
      </c>
      <c r="U24" s="1" t="s">
        <v>1923</v>
      </c>
      <c r="W24" s="31">
        <v>1</v>
      </c>
      <c r="Y24" s="1" t="s">
        <v>1970</v>
      </c>
      <c r="AA24" s="1">
        <v>0</v>
      </c>
    </row>
    <row r="25" spans="2:27">
      <c r="B25" s="1" t="s">
        <v>1971</v>
      </c>
      <c r="D25" s="31">
        <v>0</v>
      </c>
      <c r="F25" s="1" t="s">
        <v>1972</v>
      </c>
      <c r="H25" s="31">
        <v>1</v>
      </c>
      <c r="Y25" s="1" t="s">
        <v>1973</v>
      </c>
      <c r="AA25" s="1">
        <v>0</v>
      </c>
    </row>
    <row r="26" spans="2:27" ht="13.5" thickBot="1">
      <c r="B26" s="1" t="s">
        <v>1974</v>
      </c>
      <c r="D26" s="31">
        <f>1/4</f>
        <v>0.25</v>
      </c>
      <c r="F26" s="1" t="s">
        <v>1929</v>
      </c>
      <c r="H26" s="31">
        <v>1</v>
      </c>
      <c r="M26" s="30" t="s">
        <v>1975</v>
      </c>
      <c r="O26" s="30" t="s">
        <v>1775</v>
      </c>
      <c r="Q26" s="30" t="s">
        <v>1976</v>
      </c>
      <c r="S26" s="30" t="s">
        <v>1814</v>
      </c>
      <c r="U26" s="30" t="s">
        <v>1841</v>
      </c>
      <c r="W26" s="30" t="str">
        <f>"A"&amp; MID(U26,2,100)</f>
        <v>A.L_TRAN.2</v>
      </c>
      <c r="Y26" s="1" t="s">
        <v>1977</v>
      </c>
      <c r="AA26" s="1">
        <v>0</v>
      </c>
    </row>
    <row r="27" spans="2:27">
      <c r="B27" s="1" t="s">
        <v>1978</v>
      </c>
      <c r="D27" s="31">
        <f>1/2</f>
        <v>0.5</v>
      </c>
      <c r="M27" s="1" t="s">
        <v>1953</v>
      </c>
      <c r="O27" s="1">
        <v>0</v>
      </c>
      <c r="Q27" s="1" t="s">
        <v>1979</v>
      </c>
      <c r="S27" s="31">
        <v>0</v>
      </c>
      <c r="U27" s="1" t="s">
        <v>1980</v>
      </c>
      <c r="W27" s="31">
        <v>0</v>
      </c>
      <c r="Y27" s="1" t="s">
        <v>1981</v>
      </c>
      <c r="AA27" s="1">
        <v>0</v>
      </c>
    </row>
    <row r="28" spans="2:27" ht="13.5" thickBot="1">
      <c r="B28" s="1" t="s">
        <v>1982</v>
      </c>
      <c r="D28" s="31">
        <f>3/4</f>
        <v>0.75</v>
      </c>
      <c r="F28" s="30" t="s">
        <v>1740</v>
      </c>
      <c r="H28" s="30" t="s">
        <v>1741</v>
      </c>
      <c r="M28" s="1" t="s">
        <v>1958</v>
      </c>
      <c r="O28" s="1">
        <v>0</v>
      </c>
      <c r="Q28" s="1" t="s">
        <v>1983</v>
      </c>
      <c r="S28" s="31">
        <f>1/3</f>
        <v>0.33333333333333331</v>
      </c>
      <c r="U28" s="1" t="s">
        <v>1984</v>
      </c>
      <c r="W28" s="31">
        <f>1/4</f>
        <v>0.25</v>
      </c>
    </row>
    <row r="29" spans="2:27" ht="13.5" thickBot="1">
      <c r="B29" s="1" t="s">
        <v>1985</v>
      </c>
      <c r="D29" s="31">
        <v>1</v>
      </c>
      <c r="F29" s="1" t="s">
        <v>1953</v>
      </c>
      <c r="H29" s="1">
        <v>0</v>
      </c>
      <c r="M29" s="1" t="s">
        <v>1964</v>
      </c>
      <c r="O29" s="1">
        <v>0</v>
      </c>
      <c r="Q29" s="1" t="s">
        <v>1986</v>
      </c>
      <c r="S29" s="31">
        <f>2/3</f>
        <v>0.66666666666666663</v>
      </c>
      <c r="U29" s="1" t="s">
        <v>1987</v>
      </c>
      <c r="W29" s="31">
        <f>2/4</f>
        <v>0.5</v>
      </c>
      <c r="Y29" s="30" t="s">
        <v>1869</v>
      </c>
      <c r="AA29" s="30" t="str">
        <f>"A"&amp; MID(Y29,2,100)</f>
        <v>A.L_WHLS.0</v>
      </c>
    </row>
    <row r="30" spans="2:27">
      <c r="F30" s="1" t="s">
        <v>1958</v>
      </c>
      <c r="H30" s="1">
        <v>0</v>
      </c>
      <c r="M30" s="1" t="s">
        <v>1968</v>
      </c>
      <c r="O30" s="1">
        <v>0</v>
      </c>
      <c r="Q30" s="1" t="s">
        <v>1988</v>
      </c>
      <c r="S30" s="31">
        <v>1</v>
      </c>
      <c r="U30" s="1" t="s">
        <v>1989</v>
      </c>
      <c r="W30" s="31">
        <f>3/4</f>
        <v>0.75</v>
      </c>
      <c r="Y30" s="1" t="s">
        <v>406</v>
      </c>
      <c r="AA30" s="1">
        <v>10</v>
      </c>
    </row>
    <row r="31" spans="2:27" ht="13.5" thickBot="1">
      <c r="B31" s="30" t="s">
        <v>1720</v>
      </c>
      <c r="D31" s="30" t="s">
        <v>1721</v>
      </c>
      <c r="F31" s="1" t="s">
        <v>1964</v>
      </c>
      <c r="H31" s="1">
        <v>0</v>
      </c>
      <c r="M31" s="1" t="s">
        <v>1970</v>
      </c>
      <c r="O31" s="1">
        <v>0</v>
      </c>
      <c r="Q31" s="1" t="s">
        <v>1929</v>
      </c>
      <c r="S31" s="31">
        <v>1</v>
      </c>
      <c r="U31" s="1" t="s">
        <v>1990</v>
      </c>
      <c r="W31" s="31">
        <v>1</v>
      </c>
      <c r="Y31" s="1" t="s">
        <v>1891</v>
      </c>
      <c r="AA31" s="1">
        <v>0</v>
      </c>
    </row>
    <row r="32" spans="2:27">
      <c r="B32" s="1" t="s">
        <v>1953</v>
      </c>
      <c r="D32" s="1">
        <v>0</v>
      </c>
      <c r="F32" s="1" t="s">
        <v>1968</v>
      </c>
      <c r="H32" s="1">
        <v>0</v>
      </c>
      <c r="M32" s="1" t="s">
        <v>1973</v>
      </c>
      <c r="O32" s="1">
        <v>0</v>
      </c>
      <c r="U32" s="1" t="s">
        <v>1923</v>
      </c>
      <c r="W32" s="31">
        <v>1</v>
      </c>
    </row>
    <row r="33" spans="2:27" ht="13.5" thickBot="1">
      <c r="B33" s="1" t="s">
        <v>1958</v>
      </c>
      <c r="D33" s="1">
        <v>0</v>
      </c>
      <c r="F33" s="1" t="s">
        <v>1970</v>
      </c>
      <c r="H33" s="1">
        <v>0</v>
      </c>
      <c r="M33" s="1" t="s">
        <v>1977</v>
      </c>
      <c r="O33" s="1">
        <v>0</v>
      </c>
      <c r="Q33" s="30" t="s">
        <v>1991</v>
      </c>
      <c r="S33" s="30" t="s">
        <v>1816</v>
      </c>
      <c r="Y33" s="30" t="s">
        <v>1871</v>
      </c>
      <c r="AA33" s="30" t="str">
        <f>"A"&amp; MID(Y33,2,100)</f>
        <v>A.L_WHLS.1</v>
      </c>
    </row>
    <row r="34" spans="2:27" ht="13.5" thickBot="1">
      <c r="B34" s="1" t="s">
        <v>1964</v>
      </c>
      <c r="D34" s="1">
        <v>0</v>
      </c>
      <c r="F34" s="1" t="s">
        <v>1973</v>
      </c>
      <c r="H34" s="1">
        <v>0</v>
      </c>
      <c r="M34" s="1" t="s">
        <v>1981</v>
      </c>
      <c r="O34" s="1">
        <v>0</v>
      </c>
      <c r="Q34" s="1" t="s">
        <v>1953</v>
      </c>
      <c r="S34" s="1">
        <v>0</v>
      </c>
      <c r="U34" s="30" t="s">
        <v>1844</v>
      </c>
      <c r="W34" s="30" t="str">
        <f>"A"&amp; MID(U34,2,100)</f>
        <v>A.L_TRAN.3</v>
      </c>
      <c r="Y34" s="1" t="s">
        <v>1992</v>
      </c>
      <c r="AA34" s="31">
        <v>0</v>
      </c>
    </row>
    <row r="35" spans="2:27">
      <c r="B35" s="1" t="s">
        <v>1968</v>
      </c>
      <c r="D35" s="1">
        <v>0</v>
      </c>
      <c r="F35" s="1" t="s">
        <v>1977</v>
      </c>
      <c r="H35" s="1">
        <v>0</v>
      </c>
      <c r="Q35" s="1" t="s">
        <v>1958</v>
      </c>
      <c r="S35" s="1">
        <v>0</v>
      </c>
      <c r="U35" s="1" t="s">
        <v>1993</v>
      </c>
      <c r="W35" s="31">
        <v>0</v>
      </c>
      <c r="Y35" s="1" t="s">
        <v>1994</v>
      </c>
      <c r="AA35" s="31">
        <f>1/4</f>
        <v>0.25</v>
      </c>
    </row>
    <row r="36" spans="2:27" ht="13.5" thickBot="1">
      <c r="B36" s="1" t="s">
        <v>1970</v>
      </c>
      <c r="D36" s="1">
        <v>0</v>
      </c>
      <c r="M36" s="30" t="s">
        <v>1995</v>
      </c>
      <c r="O36" s="30" t="s">
        <v>1778</v>
      </c>
      <c r="Q36" s="1" t="s">
        <v>1964</v>
      </c>
      <c r="S36" s="1">
        <v>0</v>
      </c>
      <c r="U36" s="1" t="s">
        <v>1996</v>
      </c>
      <c r="W36" s="31">
        <f>1/3</f>
        <v>0.33333333333333331</v>
      </c>
      <c r="Y36" s="1" t="s">
        <v>1997</v>
      </c>
      <c r="AA36" s="31">
        <f>2/4</f>
        <v>0.5</v>
      </c>
    </row>
    <row r="37" spans="2:27" ht="13.5" thickBot="1">
      <c r="B37" s="1" t="s">
        <v>1973</v>
      </c>
      <c r="D37" s="1">
        <v>0</v>
      </c>
      <c r="F37" s="30" t="s">
        <v>1680</v>
      </c>
      <c r="H37" s="30" t="s">
        <v>1681</v>
      </c>
      <c r="M37" s="1" t="s">
        <v>406</v>
      </c>
      <c r="O37" s="1">
        <v>80</v>
      </c>
      <c r="Q37" s="1" t="s">
        <v>1968</v>
      </c>
      <c r="S37" s="1">
        <v>0</v>
      </c>
      <c r="U37" s="1" t="s">
        <v>1998</v>
      </c>
      <c r="W37" s="31">
        <f>2/3</f>
        <v>0.66666666666666663</v>
      </c>
      <c r="Y37" s="1" t="s">
        <v>1999</v>
      </c>
      <c r="AA37" s="31">
        <f>3/4</f>
        <v>0.75</v>
      </c>
    </row>
    <row r="38" spans="2:27">
      <c r="B38" s="1" t="s">
        <v>1977</v>
      </c>
      <c r="D38" s="1">
        <v>0</v>
      </c>
      <c r="F38" s="1" t="s">
        <v>406</v>
      </c>
      <c r="H38" s="1">
        <v>20</v>
      </c>
      <c r="M38" s="1" t="s">
        <v>1891</v>
      </c>
      <c r="O38" s="1">
        <v>0</v>
      </c>
      <c r="Q38" s="1" t="s">
        <v>1970</v>
      </c>
      <c r="S38" s="1">
        <v>0</v>
      </c>
      <c r="U38" s="1" t="s">
        <v>2000</v>
      </c>
      <c r="W38" s="31">
        <v>1</v>
      </c>
      <c r="Y38" s="1" t="s">
        <v>2001</v>
      </c>
      <c r="AA38" s="31">
        <v>1</v>
      </c>
    </row>
    <row r="39" spans="2:27">
      <c r="F39" s="1" t="s">
        <v>1891</v>
      </c>
      <c r="H39" s="1">
        <v>0</v>
      </c>
      <c r="Q39" s="1" t="s">
        <v>1973</v>
      </c>
      <c r="S39" s="1">
        <v>0</v>
      </c>
      <c r="U39" s="1" t="s">
        <v>1923</v>
      </c>
      <c r="W39" s="31">
        <v>1</v>
      </c>
      <c r="Y39" s="1" t="s">
        <v>1923</v>
      </c>
      <c r="AA39" s="31">
        <v>1</v>
      </c>
    </row>
    <row r="40" spans="2:27" ht="13.5" thickBot="1">
      <c r="B40" s="30" t="s">
        <v>1722</v>
      </c>
      <c r="D40" s="30" t="s">
        <v>1723</v>
      </c>
      <c r="M40" s="30" t="s">
        <v>2002</v>
      </c>
      <c r="O40" s="30" t="s">
        <v>1781</v>
      </c>
      <c r="Q40" s="1" t="s">
        <v>1977</v>
      </c>
      <c r="S40" s="1">
        <v>0</v>
      </c>
    </row>
    <row r="41" spans="2:27" ht="13.5" thickBot="1">
      <c r="B41" s="1" t="s">
        <v>406</v>
      </c>
      <c r="D41" s="1">
        <v>60</v>
      </c>
      <c r="F41" s="30" t="s">
        <v>1682</v>
      </c>
      <c r="H41" s="30" t="s">
        <v>1683</v>
      </c>
      <c r="M41" s="1" t="s">
        <v>2003</v>
      </c>
      <c r="O41" s="31">
        <v>0</v>
      </c>
      <c r="Q41" s="1" t="s">
        <v>1981</v>
      </c>
      <c r="S41" s="1">
        <v>0</v>
      </c>
      <c r="U41" s="30" t="s">
        <v>1846</v>
      </c>
      <c r="W41" s="30" t="str">
        <f>"A"&amp; MID(U41,2,100)</f>
        <v>A.L_TRAN.4</v>
      </c>
      <c r="Y41" s="30" t="s">
        <v>1873</v>
      </c>
      <c r="AA41" s="30" t="str">
        <f>"A"&amp; MID(Y41,2,100)</f>
        <v>A.L_WHLS.2</v>
      </c>
    </row>
    <row r="42" spans="2:27">
      <c r="B42" s="1" t="s">
        <v>1891</v>
      </c>
      <c r="D42" s="1">
        <v>0</v>
      </c>
      <c r="F42" s="1" t="s">
        <v>1974</v>
      </c>
      <c r="H42" s="31">
        <v>0</v>
      </c>
      <c r="M42" s="1" t="s">
        <v>2004</v>
      </c>
      <c r="O42" s="31">
        <f>1/4</f>
        <v>0.25</v>
      </c>
      <c r="U42" s="1" t="s">
        <v>1953</v>
      </c>
      <c r="W42" s="1">
        <v>0</v>
      </c>
      <c r="Y42" s="1" t="s">
        <v>2005</v>
      </c>
      <c r="AA42" s="31">
        <v>0</v>
      </c>
    </row>
    <row r="43" spans="2:27" ht="13.5" thickBot="1">
      <c r="F43" s="1" t="s">
        <v>2006</v>
      </c>
      <c r="H43" s="31">
        <f>1/4</f>
        <v>0.25</v>
      </c>
      <c r="M43" s="1" t="s">
        <v>2007</v>
      </c>
      <c r="O43" s="31">
        <f>2/4</f>
        <v>0.5</v>
      </c>
      <c r="Q43" s="30" t="s">
        <v>2008</v>
      </c>
      <c r="S43" s="30" t="s">
        <v>1818</v>
      </c>
      <c r="U43" s="1" t="s">
        <v>1958</v>
      </c>
      <c r="W43" s="1">
        <v>0</v>
      </c>
      <c r="Y43" s="1" t="s">
        <v>2009</v>
      </c>
      <c r="AA43" s="31">
        <f>1/4</f>
        <v>0.25</v>
      </c>
    </row>
    <row r="44" spans="2:27" ht="13.5" thickBot="1">
      <c r="B44" s="30" t="s">
        <v>1724</v>
      </c>
      <c r="D44" s="30" t="s">
        <v>1725</v>
      </c>
      <c r="F44" s="1" t="s">
        <v>2010</v>
      </c>
      <c r="H44" s="31">
        <f>1/2</f>
        <v>0.5</v>
      </c>
      <c r="M44" s="1" t="s">
        <v>2011</v>
      </c>
      <c r="O44" s="31">
        <f>3/4</f>
        <v>0.75</v>
      </c>
      <c r="Q44" s="1" t="s">
        <v>406</v>
      </c>
      <c r="S44" s="1">
        <v>10</v>
      </c>
      <c r="U44" s="1" t="s">
        <v>1964</v>
      </c>
      <c r="W44" s="1">
        <v>0</v>
      </c>
      <c r="Y44" s="1" t="s">
        <v>2012</v>
      </c>
      <c r="AA44" s="31">
        <f>2/4</f>
        <v>0.5</v>
      </c>
    </row>
    <row r="45" spans="2:27">
      <c r="B45" s="1" t="s">
        <v>2013</v>
      </c>
      <c r="D45" s="31">
        <v>0</v>
      </c>
      <c r="F45" s="1" t="s">
        <v>2014</v>
      </c>
      <c r="H45" s="31">
        <f>3/4</f>
        <v>0.75</v>
      </c>
      <c r="M45" s="1" t="s">
        <v>2015</v>
      </c>
      <c r="O45" s="31">
        <v>1</v>
      </c>
      <c r="Q45" s="1" t="s">
        <v>1891</v>
      </c>
      <c r="S45" s="1">
        <v>0</v>
      </c>
      <c r="U45" s="1" t="s">
        <v>1968</v>
      </c>
      <c r="W45" s="1">
        <v>0</v>
      </c>
      <c r="Y45" s="1" t="s">
        <v>2016</v>
      </c>
      <c r="AA45" s="31">
        <f>3/4</f>
        <v>0.75</v>
      </c>
    </row>
    <row r="46" spans="2:27">
      <c r="B46" s="1" t="s">
        <v>2017</v>
      </c>
      <c r="D46" s="31">
        <f>1/3</f>
        <v>0.33333333333333331</v>
      </c>
      <c r="F46" s="1" t="s">
        <v>2018</v>
      </c>
      <c r="H46" s="31">
        <v>1</v>
      </c>
      <c r="M46" s="1" t="s">
        <v>1929</v>
      </c>
      <c r="O46" s="31">
        <v>1</v>
      </c>
      <c r="U46" s="1" t="s">
        <v>1970</v>
      </c>
      <c r="W46" s="1">
        <v>0</v>
      </c>
      <c r="Y46" s="1" t="s">
        <v>2019</v>
      </c>
      <c r="AA46" s="31">
        <v>1</v>
      </c>
    </row>
    <row r="47" spans="2:27" ht="13.5" thickBot="1">
      <c r="B47" s="1" t="s">
        <v>2020</v>
      </c>
      <c r="D47" s="31">
        <f>2/3</f>
        <v>0.66666666666666663</v>
      </c>
      <c r="F47" s="1" t="s">
        <v>1929</v>
      </c>
      <c r="H47" s="31">
        <v>1</v>
      </c>
      <c r="Q47" s="30" t="s">
        <v>2021</v>
      </c>
      <c r="S47" s="30" t="s">
        <v>1820</v>
      </c>
      <c r="U47" s="1" t="s">
        <v>1973</v>
      </c>
      <c r="W47" s="1">
        <v>0</v>
      </c>
      <c r="Y47" s="1" t="s">
        <v>1923</v>
      </c>
      <c r="AA47" s="31">
        <v>1</v>
      </c>
    </row>
    <row r="48" spans="2:27" ht="13.5" thickBot="1">
      <c r="B48" s="1" t="s">
        <v>2022</v>
      </c>
      <c r="D48" s="31">
        <v>1</v>
      </c>
      <c r="M48" s="30" t="s">
        <v>2023</v>
      </c>
      <c r="O48" s="30" t="s">
        <v>1783</v>
      </c>
      <c r="Q48" s="1" t="s">
        <v>1935</v>
      </c>
      <c r="S48" s="31">
        <v>0</v>
      </c>
      <c r="U48" s="1" t="s">
        <v>1977</v>
      </c>
      <c r="W48" s="1">
        <v>0</v>
      </c>
    </row>
    <row r="49" spans="2:27" ht="13.5" thickBot="1">
      <c r="B49" s="1" t="s">
        <v>1929</v>
      </c>
      <c r="D49" s="31">
        <v>1</v>
      </c>
      <c r="F49" s="30" t="s">
        <v>1685</v>
      </c>
      <c r="H49" s="30" t="s">
        <v>1686</v>
      </c>
      <c r="M49" s="1" t="s">
        <v>1979</v>
      </c>
      <c r="O49" s="31">
        <v>0</v>
      </c>
      <c r="Q49" s="1" t="s">
        <v>1938</v>
      </c>
      <c r="S49" s="31">
        <f>1/4</f>
        <v>0.25</v>
      </c>
      <c r="U49" s="1" t="s">
        <v>1981</v>
      </c>
      <c r="W49" s="1">
        <v>0</v>
      </c>
      <c r="Y49" s="30" t="s">
        <v>1875</v>
      </c>
      <c r="AA49" s="30" t="str">
        <f>"A"&amp; MID(Y49,2,100)</f>
        <v>A.L_WHLS.3</v>
      </c>
    </row>
    <row r="50" spans="2:27">
      <c r="F50" s="1" t="s">
        <v>2024</v>
      </c>
      <c r="H50" s="31">
        <v>0</v>
      </c>
      <c r="M50" s="1" t="s">
        <v>1983</v>
      </c>
      <c r="O50" s="31">
        <f>1/3</f>
        <v>0.33333333333333331</v>
      </c>
      <c r="Q50" s="1" t="s">
        <v>1941</v>
      </c>
      <c r="S50" s="31">
        <f>2/4</f>
        <v>0.5</v>
      </c>
      <c r="Y50" s="1" t="s">
        <v>406</v>
      </c>
      <c r="AA50" s="1">
        <v>1</v>
      </c>
    </row>
    <row r="51" spans="2:27" ht="13.5" thickBot="1">
      <c r="B51" s="30" t="s">
        <v>1726</v>
      </c>
      <c r="D51" s="30" t="s">
        <v>1727</v>
      </c>
      <c r="F51" s="1" t="s">
        <v>2025</v>
      </c>
      <c r="H51" s="31">
        <f>1/3</f>
        <v>0.33333333333333331</v>
      </c>
      <c r="M51" s="1" t="s">
        <v>1986</v>
      </c>
      <c r="O51" s="31">
        <f>2/3</f>
        <v>0.66666666666666663</v>
      </c>
      <c r="Q51" s="1" t="s">
        <v>1944</v>
      </c>
      <c r="S51" s="31">
        <f>3/4</f>
        <v>0.75</v>
      </c>
      <c r="U51" s="30" t="s">
        <v>1849</v>
      </c>
      <c r="W51" s="30" t="str">
        <f>"A"&amp; MID(U51,2,100)</f>
        <v>A.L_STOR.0</v>
      </c>
      <c r="Y51" s="1" t="s">
        <v>1891</v>
      </c>
      <c r="AA51" s="1">
        <v>0</v>
      </c>
    </row>
    <row r="52" spans="2:27">
      <c r="B52" s="1" t="s">
        <v>406</v>
      </c>
      <c r="D52" s="1">
        <v>1</v>
      </c>
      <c r="F52" s="1" t="s">
        <v>2026</v>
      </c>
      <c r="H52" s="31">
        <f>2/3</f>
        <v>0.66666666666666663</v>
      </c>
      <c r="M52" s="1" t="s">
        <v>1988</v>
      </c>
      <c r="O52" s="31">
        <v>1</v>
      </c>
      <c r="Q52" s="1" t="s">
        <v>1948</v>
      </c>
      <c r="S52" s="31">
        <v>1</v>
      </c>
      <c r="U52" s="1" t="s">
        <v>406</v>
      </c>
      <c r="W52" s="1">
        <v>50</v>
      </c>
    </row>
    <row r="53" spans="2:27" ht="13.5" thickBot="1">
      <c r="B53" s="1" t="s">
        <v>1891</v>
      </c>
      <c r="D53" s="1">
        <v>0</v>
      </c>
      <c r="F53" s="1" t="s">
        <v>2027</v>
      </c>
      <c r="H53" s="31">
        <v>1</v>
      </c>
      <c r="M53" s="1" t="s">
        <v>1929</v>
      </c>
      <c r="O53" s="31">
        <v>1</v>
      </c>
      <c r="Q53" s="1" t="s">
        <v>1929</v>
      </c>
      <c r="S53" s="31">
        <v>1</v>
      </c>
      <c r="U53" s="1" t="s">
        <v>1891</v>
      </c>
      <c r="W53" s="1">
        <v>0</v>
      </c>
      <c r="Y53" s="30" t="s">
        <v>1877</v>
      </c>
      <c r="AA53" s="30" t="str">
        <f>"A"&amp; MID(Y53,2,100)</f>
        <v>A.L_WHLS.3.1</v>
      </c>
    </row>
    <row r="54" spans="2:27">
      <c r="F54" s="1" t="s">
        <v>1929</v>
      </c>
      <c r="H54" s="31">
        <v>1</v>
      </c>
      <c r="Y54" s="1" t="s">
        <v>406</v>
      </c>
      <c r="AA54" s="1">
        <v>1</v>
      </c>
    </row>
    <row r="55" spans="2:27" ht="13.5" thickBot="1">
      <c r="B55" s="30" t="s">
        <v>1728</v>
      </c>
      <c r="D55" s="30" t="s">
        <v>1729</v>
      </c>
      <c r="M55" s="30" t="s">
        <v>2028</v>
      </c>
      <c r="O55" s="30" t="s">
        <v>1786</v>
      </c>
      <c r="Q55" s="30" t="s">
        <v>2029</v>
      </c>
      <c r="S55" s="30" t="s">
        <v>1822</v>
      </c>
      <c r="U55" s="30" t="s">
        <v>1851</v>
      </c>
      <c r="W55" s="30" t="str">
        <f>"A"&amp; MID(U55,2,100)</f>
        <v>A.L_STOR.1</v>
      </c>
      <c r="Y55" s="1" t="s">
        <v>1891</v>
      </c>
      <c r="AA55" s="1">
        <v>0</v>
      </c>
    </row>
    <row r="56" spans="2:27" ht="13.5" thickBot="1">
      <c r="B56" s="1" t="s">
        <v>1953</v>
      </c>
      <c r="D56" s="1">
        <v>0</v>
      </c>
      <c r="F56" s="30" t="s">
        <v>1688</v>
      </c>
      <c r="H56" s="30" t="s">
        <v>1689</v>
      </c>
      <c r="M56" s="1" t="s">
        <v>2030</v>
      </c>
      <c r="O56" s="31">
        <v>0</v>
      </c>
      <c r="Q56" s="1" t="s">
        <v>2030</v>
      </c>
      <c r="S56" s="31">
        <v>0</v>
      </c>
      <c r="U56" s="1" t="s">
        <v>2031</v>
      </c>
      <c r="W56" s="31">
        <v>0</v>
      </c>
    </row>
    <row r="57" spans="2:27" ht="13.5" thickBot="1">
      <c r="B57" s="1" t="s">
        <v>1958</v>
      </c>
      <c r="D57" s="1">
        <v>0</v>
      </c>
      <c r="F57" s="32" t="s">
        <v>2032</v>
      </c>
      <c r="H57" s="31">
        <v>0</v>
      </c>
      <c r="M57" s="1" t="s">
        <v>2033</v>
      </c>
      <c r="O57" s="31">
        <f>1/3</f>
        <v>0.33333333333333331</v>
      </c>
      <c r="Q57" s="1" t="s">
        <v>2033</v>
      </c>
      <c r="S57" s="31">
        <f>1/3</f>
        <v>0.33333333333333331</v>
      </c>
      <c r="U57" s="1" t="s">
        <v>2034</v>
      </c>
      <c r="W57" s="31">
        <f>1/4</f>
        <v>0.25</v>
      </c>
      <c r="Y57" s="30" t="s">
        <v>1879</v>
      </c>
      <c r="AA57" s="30" t="str">
        <f>"A"&amp; MID(Y57,2,100)</f>
        <v>A.L_WHLS.3.2</v>
      </c>
    </row>
    <row r="58" spans="2:27">
      <c r="B58" s="1" t="s">
        <v>1964</v>
      </c>
      <c r="D58" s="1">
        <v>0</v>
      </c>
      <c r="F58" s="32">
        <v>1</v>
      </c>
      <c r="H58" s="31">
        <f>1/4</f>
        <v>0.25</v>
      </c>
      <c r="M58" s="1" t="s">
        <v>1983</v>
      </c>
      <c r="O58" s="31">
        <f>2/3</f>
        <v>0.66666666666666663</v>
      </c>
      <c r="Q58" s="1" t="s">
        <v>1983</v>
      </c>
      <c r="S58" s="31">
        <f>2/3</f>
        <v>0.66666666666666663</v>
      </c>
      <c r="U58" s="1" t="s">
        <v>2035</v>
      </c>
      <c r="W58" s="31">
        <f>2/4</f>
        <v>0.5</v>
      </c>
      <c r="Y58" s="1" t="s">
        <v>406</v>
      </c>
      <c r="AA58" s="1">
        <v>1</v>
      </c>
    </row>
    <row r="59" spans="2:27">
      <c r="B59" s="1" t="s">
        <v>1968</v>
      </c>
      <c r="D59" s="1">
        <v>0</v>
      </c>
      <c r="F59" s="32">
        <v>2</v>
      </c>
      <c r="H59" s="31">
        <f>1/2</f>
        <v>0.5</v>
      </c>
      <c r="M59" s="1" t="s">
        <v>2036</v>
      </c>
      <c r="O59" s="31">
        <v>1</v>
      </c>
      <c r="Q59" s="1" t="s">
        <v>2036</v>
      </c>
      <c r="S59" s="31">
        <v>1</v>
      </c>
      <c r="U59" s="1" t="s">
        <v>2037</v>
      </c>
      <c r="W59" s="31">
        <f>3/4</f>
        <v>0.75</v>
      </c>
      <c r="Y59" s="1" t="s">
        <v>1891</v>
      </c>
      <c r="AA59" s="1">
        <v>0</v>
      </c>
    </row>
    <row r="60" spans="2:27">
      <c r="B60" s="1" t="s">
        <v>1970</v>
      </c>
      <c r="D60" s="1">
        <v>0</v>
      </c>
      <c r="F60" s="32">
        <v>3</v>
      </c>
      <c r="H60" s="31">
        <f>3/4</f>
        <v>0.75</v>
      </c>
      <c r="M60" s="1" t="s">
        <v>1929</v>
      </c>
      <c r="O60" s="31">
        <v>1</v>
      </c>
      <c r="Q60" s="1" t="s">
        <v>1929</v>
      </c>
      <c r="S60" s="31">
        <v>1</v>
      </c>
      <c r="U60" s="1" t="s">
        <v>2038</v>
      </c>
      <c r="W60" s="31">
        <v>1</v>
      </c>
    </row>
    <row r="61" spans="2:27" ht="13.5" thickBot="1">
      <c r="B61" s="1" t="s">
        <v>1973</v>
      </c>
      <c r="D61" s="1">
        <v>0</v>
      </c>
      <c r="F61" s="32" t="s">
        <v>2039</v>
      </c>
      <c r="H61" s="31">
        <v>1</v>
      </c>
      <c r="U61" s="1" t="s">
        <v>1923</v>
      </c>
      <c r="W61" s="31">
        <v>1</v>
      </c>
      <c r="Y61" s="30" t="s">
        <v>1881</v>
      </c>
      <c r="AA61" s="30" t="str">
        <f>"A"&amp; MID(Y61,2,100)</f>
        <v>A.L_WHLS.3.3</v>
      </c>
    </row>
    <row r="62" spans="2:27" ht="13.5" thickBot="1">
      <c r="B62" s="1" t="s">
        <v>1977</v>
      </c>
      <c r="D62" s="1">
        <v>0</v>
      </c>
      <c r="F62" s="32" t="s">
        <v>1929</v>
      </c>
      <c r="H62" s="31">
        <v>1</v>
      </c>
      <c r="M62" s="30" t="s">
        <v>2040</v>
      </c>
      <c r="O62" s="30" t="s">
        <v>1788</v>
      </c>
      <c r="Q62" s="30" t="s">
        <v>2041</v>
      </c>
      <c r="S62" s="30" t="s">
        <v>1824</v>
      </c>
      <c r="Y62" s="1" t="s">
        <v>406</v>
      </c>
      <c r="AA62" s="1">
        <v>1</v>
      </c>
    </row>
    <row r="63" spans="2:27" ht="13.5" thickBot="1">
      <c r="M63" s="1" t="s">
        <v>2042</v>
      </c>
      <c r="O63" s="31">
        <v>0</v>
      </c>
      <c r="Q63" s="1" t="s">
        <v>1953</v>
      </c>
      <c r="S63" s="1">
        <v>0</v>
      </c>
      <c r="U63" s="30" t="s">
        <v>1853</v>
      </c>
      <c r="W63" s="30" t="str">
        <f>"A"&amp; MID(U63,2,100)</f>
        <v>A.L_STOR.2</v>
      </c>
      <c r="Y63" s="1" t="s">
        <v>1891</v>
      </c>
      <c r="AA63" s="1">
        <v>0</v>
      </c>
    </row>
    <row r="64" spans="2:27" ht="13.5" thickBot="1">
      <c r="B64" s="30" t="s">
        <v>1742</v>
      </c>
      <c r="D64" s="30" t="s">
        <v>1743</v>
      </c>
      <c r="F64" s="30" t="s">
        <v>1691</v>
      </c>
      <c r="H64" s="30" t="s">
        <v>1692</v>
      </c>
      <c r="M64" s="39" t="s">
        <v>2043</v>
      </c>
      <c r="O64" s="31">
        <f>1/4</f>
        <v>0.25</v>
      </c>
      <c r="Q64" s="1" t="s">
        <v>1958</v>
      </c>
      <c r="S64" s="1">
        <v>0</v>
      </c>
      <c r="U64" s="1" t="s">
        <v>2044</v>
      </c>
      <c r="W64" s="31">
        <v>0</v>
      </c>
    </row>
    <row r="65" spans="2:27" ht="13.5" thickBot="1">
      <c r="B65" s="1" t="s">
        <v>406</v>
      </c>
      <c r="D65" s="1">
        <v>10</v>
      </c>
      <c r="F65" s="1" t="s">
        <v>2045</v>
      </c>
      <c r="H65" s="31">
        <v>0</v>
      </c>
      <c r="M65" s="39" t="s">
        <v>2046</v>
      </c>
      <c r="O65" s="31">
        <f>2/4</f>
        <v>0.5</v>
      </c>
      <c r="Q65" s="1" t="s">
        <v>1964</v>
      </c>
      <c r="S65" s="1">
        <v>0</v>
      </c>
      <c r="U65" s="1" t="s">
        <v>2047</v>
      </c>
      <c r="W65" s="31">
        <f>1/4</f>
        <v>0.25</v>
      </c>
      <c r="Y65" s="30" t="s">
        <v>1883</v>
      </c>
      <c r="AA65" s="30" t="str">
        <f>"A"&amp; MID(Y65,2,100)</f>
        <v>A.L_WHLS.3.4</v>
      </c>
    </row>
    <row r="66" spans="2:27">
      <c r="B66" s="1" t="s">
        <v>1891</v>
      </c>
      <c r="D66" s="1">
        <v>0</v>
      </c>
      <c r="F66" s="1" t="s">
        <v>2048</v>
      </c>
      <c r="H66" s="31">
        <f>1/4</f>
        <v>0.25</v>
      </c>
      <c r="M66" s="39" t="s">
        <v>2049</v>
      </c>
      <c r="O66" s="31">
        <f>3/4</f>
        <v>0.75</v>
      </c>
      <c r="Q66" s="1" t="s">
        <v>1968</v>
      </c>
      <c r="S66" s="1">
        <v>0</v>
      </c>
      <c r="U66" s="1" t="s">
        <v>2050</v>
      </c>
      <c r="W66" s="31">
        <f>2/4</f>
        <v>0.5</v>
      </c>
      <c r="Y66" s="1" t="s">
        <v>406</v>
      </c>
      <c r="AA66" s="1">
        <v>1</v>
      </c>
    </row>
    <row r="67" spans="2:27">
      <c r="F67" s="1" t="s">
        <v>2051</v>
      </c>
      <c r="H67" s="31">
        <f>1/2</f>
        <v>0.5</v>
      </c>
      <c r="M67" s="1" t="s">
        <v>2052</v>
      </c>
      <c r="O67" s="31">
        <v>1</v>
      </c>
      <c r="Q67" s="1" t="s">
        <v>1970</v>
      </c>
      <c r="S67" s="1">
        <v>0</v>
      </c>
      <c r="U67" s="1" t="s">
        <v>2053</v>
      </c>
      <c r="W67" s="31">
        <f>3/4</f>
        <v>0.75</v>
      </c>
      <c r="Y67" s="1" t="s">
        <v>1891</v>
      </c>
      <c r="AA67" s="1">
        <v>0</v>
      </c>
    </row>
    <row r="68" spans="2:27" ht="13.5" thickBot="1">
      <c r="B68" s="30" t="s">
        <v>1745</v>
      </c>
      <c r="D68" s="30" t="s">
        <v>1746</v>
      </c>
      <c r="F68" s="1" t="s">
        <v>1940</v>
      </c>
      <c r="H68" s="31">
        <f>3/4</f>
        <v>0.75</v>
      </c>
      <c r="M68" s="1" t="s">
        <v>1929</v>
      </c>
      <c r="O68" s="31">
        <v>1</v>
      </c>
      <c r="Q68" s="1" t="s">
        <v>1973</v>
      </c>
      <c r="S68" s="1">
        <v>0</v>
      </c>
      <c r="U68" s="1" t="s">
        <v>1939</v>
      </c>
      <c r="W68" s="31">
        <v>1</v>
      </c>
    </row>
    <row r="69" spans="2:27" ht="13.5" thickBot="1">
      <c r="B69" s="1" t="s">
        <v>1908</v>
      </c>
      <c r="D69" s="31">
        <v>0</v>
      </c>
      <c r="F69" s="1" t="s">
        <v>1942</v>
      </c>
      <c r="H69" s="31">
        <v>1</v>
      </c>
      <c r="Q69" s="1" t="s">
        <v>1977</v>
      </c>
      <c r="S69" s="1">
        <v>0</v>
      </c>
      <c r="U69" s="1" t="s">
        <v>1923</v>
      </c>
      <c r="W69" s="31">
        <v>1</v>
      </c>
      <c r="Y69" s="30" t="s">
        <v>2054</v>
      </c>
      <c r="AA69" s="30" t="str">
        <f>"A"&amp; MID(Y69,2,100)</f>
        <v>A.L_WHLS.4</v>
      </c>
    </row>
    <row r="70" spans="2:27" ht="13.5" thickBot="1">
      <c r="B70" s="1" t="s">
        <v>1913</v>
      </c>
      <c r="D70" s="31">
        <f>1/3</f>
        <v>0.33333333333333331</v>
      </c>
      <c r="F70" s="1" t="s">
        <v>1929</v>
      </c>
      <c r="H70" s="31">
        <v>1</v>
      </c>
      <c r="M70" s="30" t="s">
        <v>2055</v>
      </c>
      <c r="O70" s="30" t="s">
        <v>2056</v>
      </c>
      <c r="Q70" s="1" t="s">
        <v>1981</v>
      </c>
      <c r="S70" s="1">
        <v>0</v>
      </c>
      <c r="Y70" s="1" t="s">
        <v>1953</v>
      </c>
      <c r="AA70" s="1">
        <v>0</v>
      </c>
    </row>
    <row r="71" spans="2:27" ht="13.5" thickBot="1">
      <c r="B71" s="1" t="s">
        <v>1919</v>
      </c>
      <c r="D71" s="31">
        <f>2/3</f>
        <v>0.66666666666666663</v>
      </c>
      <c r="M71" s="1" t="s">
        <v>2057</v>
      </c>
      <c r="O71" s="31">
        <v>0</v>
      </c>
      <c r="U71" s="30" t="s">
        <v>1855</v>
      </c>
      <c r="W71" s="30" t="str">
        <f>"A"&amp; MID(U71,2,100)</f>
        <v>A.L_STOR.3</v>
      </c>
      <c r="Y71" s="1" t="s">
        <v>1958</v>
      </c>
      <c r="AA71" s="1">
        <v>0</v>
      </c>
    </row>
    <row r="72" spans="2:27" ht="13.5" thickBot="1">
      <c r="B72" s="1" t="s">
        <v>1925</v>
      </c>
      <c r="D72" s="31">
        <v>1</v>
      </c>
      <c r="F72" s="30" t="s">
        <v>1694</v>
      </c>
      <c r="H72" s="30" t="s">
        <v>1695</v>
      </c>
      <c r="M72" s="1" t="s">
        <v>2058</v>
      </c>
      <c r="O72" s="31">
        <f>1/4</f>
        <v>0.25</v>
      </c>
      <c r="Q72" s="30" t="s">
        <v>2059</v>
      </c>
      <c r="S72" s="30" t="s">
        <v>1826</v>
      </c>
      <c r="U72" s="1" t="s">
        <v>2060</v>
      </c>
      <c r="W72" s="31">
        <v>0</v>
      </c>
      <c r="Y72" s="1" t="s">
        <v>1964</v>
      </c>
      <c r="AA72" s="1">
        <v>0</v>
      </c>
    </row>
    <row r="73" spans="2:27">
      <c r="B73" s="1" t="s">
        <v>1929</v>
      </c>
      <c r="D73" s="31">
        <v>1</v>
      </c>
      <c r="F73" s="1" t="s">
        <v>406</v>
      </c>
      <c r="H73" s="1">
        <v>1</v>
      </c>
      <c r="M73" s="1" t="s">
        <v>2061</v>
      </c>
      <c r="O73" s="31">
        <f>2/4</f>
        <v>0.5</v>
      </c>
      <c r="Q73" s="1" t="s">
        <v>406</v>
      </c>
      <c r="S73" s="1">
        <v>100</v>
      </c>
      <c r="U73" s="1" t="s">
        <v>2062</v>
      </c>
      <c r="W73" s="31">
        <f>1/3</f>
        <v>0.33333333333333331</v>
      </c>
      <c r="Y73" s="1" t="s">
        <v>1968</v>
      </c>
      <c r="AA73" s="1">
        <v>0</v>
      </c>
    </row>
    <row r="74" spans="2:27">
      <c r="F74" s="1" t="s">
        <v>1891</v>
      </c>
      <c r="H74" s="1">
        <v>0</v>
      </c>
      <c r="M74" s="1" t="s">
        <v>2063</v>
      </c>
      <c r="O74" s="31">
        <f>3/4</f>
        <v>0.75</v>
      </c>
      <c r="Q74" s="1" t="s">
        <v>1891</v>
      </c>
      <c r="S74" s="1">
        <v>0</v>
      </c>
      <c r="U74" s="1" t="s">
        <v>2064</v>
      </c>
      <c r="W74" s="31">
        <f>2/3</f>
        <v>0.66666666666666663</v>
      </c>
      <c r="Y74" s="1" t="s">
        <v>1970</v>
      </c>
      <c r="AA74" s="1">
        <v>0</v>
      </c>
    </row>
    <row r="75" spans="2:27" ht="13.5" thickBot="1">
      <c r="B75" s="30" t="s">
        <v>1747</v>
      </c>
      <c r="D75" s="30" t="s">
        <v>1748</v>
      </c>
      <c r="M75" s="1" t="s">
        <v>2065</v>
      </c>
      <c r="O75" s="31">
        <v>1</v>
      </c>
      <c r="U75" s="1" t="s">
        <v>2066</v>
      </c>
      <c r="W75" s="31">
        <v>1</v>
      </c>
      <c r="Y75" s="1" t="s">
        <v>1973</v>
      </c>
      <c r="AA75" s="1">
        <v>0</v>
      </c>
    </row>
    <row r="76" spans="2:27" ht="13.5" thickBot="1">
      <c r="B76" s="1" t="s">
        <v>2024</v>
      </c>
      <c r="D76" s="31">
        <v>0</v>
      </c>
      <c r="F76" s="30" t="s">
        <v>1697</v>
      </c>
      <c r="H76" s="30" t="s">
        <v>1698</v>
      </c>
      <c r="M76" s="1" t="s">
        <v>1929</v>
      </c>
      <c r="O76" s="31">
        <v>1</v>
      </c>
      <c r="Q76" s="30" t="s">
        <v>2067</v>
      </c>
      <c r="S76" s="30" t="s">
        <v>1828</v>
      </c>
      <c r="U76" s="1" t="s">
        <v>1929</v>
      </c>
      <c r="W76" s="31">
        <v>1</v>
      </c>
      <c r="Y76" s="1" t="s">
        <v>1977</v>
      </c>
      <c r="AA76" s="1">
        <v>0</v>
      </c>
    </row>
    <row r="77" spans="2:27">
      <c r="B77" s="1" t="s">
        <v>2025</v>
      </c>
      <c r="D77" s="31">
        <f>1/3</f>
        <v>0.33333333333333331</v>
      </c>
      <c r="F77" s="1" t="s">
        <v>406</v>
      </c>
      <c r="H77" s="1">
        <v>1</v>
      </c>
      <c r="Q77" s="1" t="s">
        <v>1953</v>
      </c>
      <c r="S77" s="1">
        <v>0</v>
      </c>
      <c r="Y77" s="1" t="s">
        <v>1981</v>
      </c>
      <c r="AA77" s="1">
        <v>0</v>
      </c>
    </row>
    <row r="78" spans="2:27" ht="13.5" thickBot="1">
      <c r="B78" s="1" t="s">
        <v>2026</v>
      </c>
      <c r="D78" s="31">
        <f>2/3</f>
        <v>0.66666666666666663</v>
      </c>
      <c r="F78" s="1" t="s">
        <v>1891</v>
      </c>
      <c r="H78" s="1">
        <v>0</v>
      </c>
      <c r="M78" s="30" t="s">
        <v>2068</v>
      </c>
      <c r="O78" s="30" t="s">
        <v>2069</v>
      </c>
      <c r="Q78" s="1" t="s">
        <v>1958</v>
      </c>
      <c r="S78" s="1">
        <v>0</v>
      </c>
      <c r="U78" s="30" t="s">
        <v>1857</v>
      </c>
      <c r="W78" s="30" t="str">
        <f>"A"&amp; MID(U78,2,100)</f>
        <v>A.L_STOR.4</v>
      </c>
    </row>
    <row r="79" spans="2:27">
      <c r="B79" s="1" t="s">
        <v>2027</v>
      </c>
      <c r="D79" s="31">
        <v>1</v>
      </c>
      <c r="M79" s="1" t="s">
        <v>406</v>
      </c>
      <c r="O79" s="1">
        <v>1</v>
      </c>
      <c r="Q79" s="1" t="s">
        <v>1964</v>
      </c>
      <c r="S79" s="1">
        <v>0</v>
      </c>
      <c r="U79" s="1" t="s">
        <v>406</v>
      </c>
      <c r="W79" s="1">
        <v>100</v>
      </c>
    </row>
    <row r="80" spans="2:27" ht="13.5" thickBot="1">
      <c r="B80" s="1" t="s">
        <v>1929</v>
      </c>
      <c r="D80" s="31">
        <v>1</v>
      </c>
      <c r="F80" s="30" t="s">
        <v>1699</v>
      </c>
      <c r="H80" s="30" t="s">
        <v>1700</v>
      </c>
      <c r="M80" s="1" t="s">
        <v>1891</v>
      </c>
      <c r="O80" s="1">
        <v>0</v>
      </c>
      <c r="Q80" s="1" t="s">
        <v>1968</v>
      </c>
      <c r="S80" s="1">
        <v>0</v>
      </c>
      <c r="U80" s="1" t="s">
        <v>1891</v>
      </c>
      <c r="W80" s="1">
        <v>0</v>
      </c>
    </row>
    <row r="81" spans="2:23">
      <c r="F81" s="1" t="s">
        <v>406</v>
      </c>
      <c r="H81" s="1">
        <v>1</v>
      </c>
      <c r="Q81" s="1" t="s">
        <v>1970</v>
      </c>
      <c r="S81" s="1">
        <v>0</v>
      </c>
    </row>
    <row r="82" spans="2:23" ht="13.5" thickBot="1">
      <c r="B82" s="30" t="s">
        <v>1749</v>
      </c>
      <c r="D82" s="30" t="s">
        <v>1750</v>
      </c>
      <c r="F82" s="1" t="s">
        <v>1891</v>
      </c>
      <c r="H82" s="1">
        <v>0</v>
      </c>
      <c r="M82" s="30" t="s">
        <v>2070</v>
      </c>
      <c r="O82" s="30" t="s">
        <v>1794</v>
      </c>
      <c r="Q82" s="1" t="s">
        <v>1973</v>
      </c>
      <c r="S82" s="1">
        <v>0</v>
      </c>
      <c r="U82" s="30" t="s">
        <v>1859</v>
      </c>
      <c r="W82" s="30" t="str">
        <f>"A"&amp; MID(U82,2,100)</f>
        <v>A.L_STOR.5</v>
      </c>
    </row>
    <row r="83" spans="2:23">
      <c r="B83" s="1" t="s">
        <v>2071</v>
      </c>
      <c r="D83" s="31">
        <v>0</v>
      </c>
      <c r="M83" s="1" t="s">
        <v>2072</v>
      </c>
      <c r="O83" s="31">
        <v>0</v>
      </c>
      <c r="Q83" s="1" t="s">
        <v>1977</v>
      </c>
      <c r="S83" s="1">
        <v>0</v>
      </c>
      <c r="U83" s="1" t="s">
        <v>1953</v>
      </c>
      <c r="W83" s="1">
        <v>0</v>
      </c>
    </row>
    <row r="84" spans="2:23" ht="13.5" thickBot="1">
      <c r="B84" s="1" t="s">
        <v>1986</v>
      </c>
      <c r="D84" s="31">
        <f>1/3</f>
        <v>0.33333333333333331</v>
      </c>
      <c r="F84" s="30" t="s">
        <v>1702</v>
      </c>
      <c r="H84" s="30" t="s">
        <v>1703</v>
      </c>
      <c r="M84" s="1" t="s">
        <v>2073</v>
      </c>
      <c r="O84" s="31">
        <f>1/4</f>
        <v>0.25</v>
      </c>
      <c r="Q84" s="1" t="s">
        <v>1981</v>
      </c>
      <c r="S84" s="1">
        <v>0</v>
      </c>
      <c r="U84" s="1" t="s">
        <v>1958</v>
      </c>
      <c r="W84" s="1">
        <v>0</v>
      </c>
    </row>
    <row r="85" spans="2:23">
      <c r="B85" s="1" t="s">
        <v>2074</v>
      </c>
      <c r="D85" s="31">
        <f>2/3</f>
        <v>0.66666666666666663</v>
      </c>
      <c r="F85" s="1" t="s">
        <v>406</v>
      </c>
      <c r="H85" s="1">
        <v>1</v>
      </c>
      <c r="M85" s="1" t="s">
        <v>2075</v>
      </c>
      <c r="O85" s="31">
        <f>2/4</f>
        <v>0.5</v>
      </c>
      <c r="U85" s="1" t="s">
        <v>1964</v>
      </c>
      <c r="W85" s="1">
        <v>0</v>
      </c>
    </row>
    <row r="86" spans="2:23">
      <c r="B86" s="1" t="s">
        <v>1972</v>
      </c>
      <c r="D86" s="31">
        <v>1</v>
      </c>
      <c r="F86" s="1" t="s">
        <v>1891</v>
      </c>
      <c r="H86" s="1">
        <v>0</v>
      </c>
      <c r="M86" s="1" t="s">
        <v>2076</v>
      </c>
      <c r="O86" s="31">
        <f>3/4</f>
        <v>0.75</v>
      </c>
      <c r="U86" s="1" t="s">
        <v>1968</v>
      </c>
      <c r="W86" s="1">
        <v>0</v>
      </c>
    </row>
    <row r="87" spans="2:23">
      <c r="B87" s="1" t="s">
        <v>1929</v>
      </c>
      <c r="D87" s="31">
        <v>1</v>
      </c>
      <c r="M87" s="1" t="s">
        <v>2077</v>
      </c>
      <c r="O87" s="31">
        <v>1</v>
      </c>
      <c r="U87" s="1" t="s">
        <v>1970</v>
      </c>
      <c r="W87" s="1">
        <v>0</v>
      </c>
    </row>
    <row r="88" spans="2:23" ht="13.5" thickBot="1">
      <c r="F88" s="30" t="s">
        <v>1704</v>
      </c>
      <c r="H88" s="30" t="s">
        <v>1705</v>
      </c>
      <c r="M88" s="1" t="s">
        <v>1929</v>
      </c>
      <c r="O88" s="31">
        <v>1</v>
      </c>
      <c r="U88" s="1" t="s">
        <v>1973</v>
      </c>
      <c r="W88" s="1">
        <v>0</v>
      </c>
    </row>
    <row r="89" spans="2:23" ht="13.5" thickBot="1">
      <c r="B89" s="30" t="s">
        <v>1752</v>
      </c>
      <c r="D89" s="30" t="s">
        <v>1753</v>
      </c>
      <c r="F89" s="1" t="s">
        <v>406</v>
      </c>
      <c r="H89" s="1">
        <v>1</v>
      </c>
      <c r="U89" s="1" t="s">
        <v>1977</v>
      </c>
      <c r="W89" s="1">
        <v>0</v>
      </c>
    </row>
    <row r="90" spans="2:23" ht="13.5" thickBot="1">
      <c r="B90" s="1" t="s">
        <v>406</v>
      </c>
      <c r="D90" s="1">
        <v>1</v>
      </c>
      <c r="F90" s="1" t="s">
        <v>1891</v>
      </c>
      <c r="H90" s="1">
        <v>0</v>
      </c>
      <c r="M90" s="30" t="s">
        <v>2078</v>
      </c>
      <c r="O90" s="30" t="s">
        <v>1796</v>
      </c>
      <c r="U90" s="1" t="s">
        <v>1981</v>
      </c>
      <c r="W90" s="1">
        <v>0</v>
      </c>
    </row>
    <row r="91" spans="2:23">
      <c r="B91" s="1" t="s">
        <v>1891</v>
      </c>
      <c r="D91" s="1">
        <v>0</v>
      </c>
      <c r="M91" s="1" t="s">
        <v>1953</v>
      </c>
      <c r="O91" s="1">
        <v>0</v>
      </c>
      <c r="U91" s="1" t="s">
        <v>2079</v>
      </c>
      <c r="W91" s="1">
        <v>0</v>
      </c>
    </row>
    <row r="92" spans="2:23" ht="13.5" thickBot="1">
      <c r="F92" s="30" t="s">
        <v>1706</v>
      </c>
      <c r="H92" s="30" t="s">
        <v>1707</v>
      </c>
      <c r="M92" s="1" t="s">
        <v>1958</v>
      </c>
      <c r="O92" s="1">
        <v>0</v>
      </c>
    </row>
    <row r="93" spans="2:23" ht="13.5" thickBot="1">
      <c r="B93" s="30" t="s">
        <v>1754</v>
      </c>
      <c r="D93" s="30" t="s">
        <v>1755</v>
      </c>
      <c r="F93" s="1" t="s">
        <v>1953</v>
      </c>
      <c r="H93" s="1">
        <v>0</v>
      </c>
      <c r="M93" s="1" t="s">
        <v>1964</v>
      </c>
      <c r="O93" s="1">
        <v>0</v>
      </c>
    </row>
    <row r="94" spans="2:23">
      <c r="B94" s="1" t="s">
        <v>406</v>
      </c>
      <c r="D94" s="1">
        <v>1</v>
      </c>
      <c r="F94" s="1" t="s">
        <v>1958</v>
      </c>
      <c r="H94" s="1">
        <v>0</v>
      </c>
      <c r="M94" s="1" t="s">
        <v>1968</v>
      </c>
      <c r="O94" s="1">
        <v>0</v>
      </c>
    </row>
    <row r="95" spans="2:23">
      <c r="B95" s="1" t="s">
        <v>1891</v>
      </c>
      <c r="D95" s="1">
        <v>0</v>
      </c>
      <c r="F95" s="1" t="s">
        <v>1964</v>
      </c>
      <c r="H95" s="1">
        <v>0</v>
      </c>
      <c r="M95" s="1" t="s">
        <v>1970</v>
      </c>
      <c r="O95" s="1">
        <v>0</v>
      </c>
    </row>
    <row r="96" spans="2:23">
      <c r="F96" s="1" t="s">
        <v>1968</v>
      </c>
      <c r="H96" s="1">
        <v>0</v>
      </c>
      <c r="M96" s="1" t="s">
        <v>1973</v>
      </c>
      <c r="O96" s="1">
        <v>0</v>
      </c>
    </row>
    <row r="97" spans="2:15" ht="13.5" thickBot="1">
      <c r="B97" s="30" t="s">
        <v>1756</v>
      </c>
      <c r="D97" s="30" t="s">
        <v>1757</v>
      </c>
      <c r="F97" s="1" t="s">
        <v>1970</v>
      </c>
      <c r="H97" s="1">
        <v>0</v>
      </c>
      <c r="M97" s="1" t="s">
        <v>1977</v>
      </c>
      <c r="O97" s="1">
        <v>0</v>
      </c>
    </row>
    <row r="98" spans="2:15">
      <c r="B98" s="1" t="s">
        <v>406</v>
      </c>
      <c r="D98" s="1">
        <v>1</v>
      </c>
      <c r="F98" s="1" t="s">
        <v>1973</v>
      </c>
      <c r="H98" s="1">
        <v>0</v>
      </c>
      <c r="M98" s="1" t="s">
        <v>1981</v>
      </c>
      <c r="O98" s="1">
        <v>0</v>
      </c>
    </row>
    <row r="99" spans="2:15">
      <c r="B99" s="1" t="s">
        <v>1891</v>
      </c>
      <c r="D99" s="1">
        <v>0</v>
      </c>
      <c r="F99" s="1" t="s">
        <v>1977</v>
      </c>
      <c r="H99" s="1">
        <v>0</v>
      </c>
    </row>
    <row r="100" spans="2:15" ht="13.5" thickBot="1">
      <c r="M100" s="30" t="s">
        <v>1849</v>
      </c>
      <c r="O100" s="30" t="s">
        <v>1798</v>
      </c>
    </row>
    <row r="101" spans="2:15" ht="13.5" thickBot="1">
      <c r="B101" s="30" t="s">
        <v>1758</v>
      </c>
      <c r="D101" s="30" t="s">
        <v>1759</v>
      </c>
      <c r="F101" s="30" t="s">
        <v>1760</v>
      </c>
      <c r="H101" s="30" t="s">
        <v>1761</v>
      </c>
      <c r="M101" s="1" t="s">
        <v>406</v>
      </c>
      <c r="O101" s="1">
        <v>34</v>
      </c>
    </row>
    <row r="102" spans="2:15">
      <c r="B102" s="1" t="s">
        <v>1953</v>
      </c>
      <c r="D102" s="1">
        <v>0</v>
      </c>
      <c r="F102" s="1" t="s">
        <v>406</v>
      </c>
      <c r="H102" s="1">
        <v>100</v>
      </c>
      <c r="M102" s="1" t="s">
        <v>1891</v>
      </c>
      <c r="O102" s="1">
        <v>0</v>
      </c>
    </row>
    <row r="103" spans="2:15">
      <c r="B103" s="1" t="s">
        <v>1958</v>
      </c>
      <c r="D103" s="1">
        <v>0</v>
      </c>
      <c r="F103" s="1" t="s">
        <v>1891</v>
      </c>
      <c r="H103" s="1">
        <v>0</v>
      </c>
    </row>
    <row r="104" spans="2:15" ht="13.5" thickBot="1">
      <c r="B104" s="1" t="s">
        <v>1964</v>
      </c>
      <c r="D104" s="1">
        <v>0</v>
      </c>
      <c r="M104" s="30" t="s">
        <v>1851</v>
      </c>
      <c r="O104" s="30" t="s">
        <v>1800</v>
      </c>
    </row>
    <row r="105" spans="2:15">
      <c r="B105" s="1" t="s">
        <v>1968</v>
      </c>
      <c r="D105" s="1">
        <v>0</v>
      </c>
      <c r="M105" s="1" t="s">
        <v>2080</v>
      </c>
      <c r="O105" s="31">
        <v>0</v>
      </c>
    </row>
    <row r="106" spans="2:15">
      <c r="B106" s="1" t="s">
        <v>1970</v>
      </c>
      <c r="D106" s="1">
        <v>0</v>
      </c>
      <c r="M106" s="1" t="s">
        <v>2081</v>
      </c>
      <c r="O106" s="31">
        <f>1/4</f>
        <v>0.25</v>
      </c>
    </row>
    <row r="107" spans="2:15">
      <c r="B107" s="1" t="s">
        <v>1973</v>
      </c>
      <c r="D107" s="1">
        <v>0</v>
      </c>
      <c r="M107" s="1" t="s">
        <v>2082</v>
      </c>
      <c r="O107" s="31">
        <f>2/4</f>
        <v>0.5</v>
      </c>
    </row>
    <row r="108" spans="2:15">
      <c r="B108" s="1" t="s">
        <v>1977</v>
      </c>
      <c r="D108" s="1">
        <v>0</v>
      </c>
      <c r="M108" s="1" t="s">
        <v>2083</v>
      </c>
      <c r="O108" s="31">
        <f>3/4</f>
        <v>0.75</v>
      </c>
    </row>
    <row r="109" spans="2:15">
      <c r="M109" s="1" t="s">
        <v>2084</v>
      </c>
      <c r="O109" s="31">
        <v>1</v>
      </c>
    </row>
    <row r="110" spans="2:15">
      <c r="M110" s="1" t="s">
        <v>1929</v>
      </c>
      <c r="O110" s="31">
        <v>1</v>
      </c>
    </row>
    <row r="112" spans="2:15" ht="13.5" thickBot="1">
      <c r="M112" s="30" t="s">
        <v>1853</v>
      </c>
      <c r="O112" s="30" t="s">
        <v>1802</v>
      </c>
    </row>
    <row r="113" spans="13:15">
      <c r="M113" s="1" t="s">
        <v>2085</v>
      </c>
      <c r="O113" s="31">
        <v>0</v>
      </c>
    </row>
    <row r="114" spans="13:15">
      <c r="M114" s="1" t="s">
        <v>2086</v>
      </c>
      <c r="O114" s="31">
        <f>1/4</f>
        <v>0.25</v>
      </c>
    </row>
    <row r="115" spans="13:15">
      <c r="M115" s="1" t="s">
        <v>2087</v>
      </c>
      <c r="O115" s="31">
        <f>2/4</f>
        <v>0.5</v>
      </c>
    </row>
    <row r="116" spans="13:15">
      <c r="M116" s="1" t="s">
        <v>2088</v>
      </c>
      <c r="O116" s="31">
        <f>3/4</f>
        <v>0.75</v>
      </c>
    </row>
    <row r="117" spans="13:15">
      <c r="M117" s="1" t="s">
        <v>2089</v>
      </c>
      <c r="O117" s="31">
        <v>1</v>
      </c>
    </row>
    <row r="118" spans="13:15">
      <c r="M118" s="1" t="s">
        <v>1929</v>
      </c>
      <c r="O118" s="31">
        <v>1</v>
      </c>
    </row>
    <row r="120" spans="13:15" ht="13.5" thickBot="1">
      <c r="M120" s="30" t="s">
        <v>1855</v>
      </c>
      <c r="O120" s="30" t="s">
        <v>1804</v>
      </c>
    </row>
    <row r="121" spans="13:15">
      <c r="M121" s="1" t="s">
        <v>1953</v>
      </c>
      <c r="O121" s="1">
        <v>0</v>
      </c>
    </row>
    <row r="122" spans="13:15">
      <c r="M122" s="1" t="s">
        <v>1958</v>
      </c>
      <c r="O122" s="1">
        <v>0</v>
      </c>
    </row>
    <row r="123" spans="13:15">
      <c r="M123" s="1" t="s">
        <v>1964</v>
      </c>
      <c r="O123" s="1">
        <v>0</v>
      </c>
    </row>
    <row r="124" spans="13:15">
      <c r="M124" s="1" t="s">
        <v>1968</v>
      </c>
      <c r="O124" s="1">
        <v>0</v>
      </c>
    </row>
    <row r="125" spans="13:15">
      <c r="M125" s="1" t="s">
        <v>1970</v>
      </c>
      <c r="O125" s="1">
        <v>0</v>
      </c>
    </row>
    <row r="126" spans="13:15">
      <c r="M126" s="1" t="s">
        <v>1973</v>
      </c>
      <c r="O126" s="1">
        <v>0</v>
      </c>
    </row>
    <row r="127" spans="13:15">
      <c r="M127" s="1" t="s">
        <v>1977</v>
      </c>
      <c r="O127" s="1">
        <v>0</v>
      </c>
    </row>
    <row r="128" spans="13:15">
      <c r="M128" s="1" t="s">
        <v>1981</v>
      </c>
      <c r="O128" s="1">
        <v>0</v>
      </c>
    </row>
  </sheetData>
  <sheetProtection algorithmName="SHA-1" hashValue="ko7gEgDkEfqmZocfbX55LOWsWIA=" saltValue="KWzbuqm3STId5peooyEq/g==" spinCount="100000" sheet="1" objects="1" scenarios="1" selectLockedCells="1" selectUnlockedCells="1"/>
  <mergeCells count="2">
    <mergeCell ref="J19:K19"/>
    <mergeCell ref="J2:K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D0CB2-6018-8F4D-BAC1-74AAEEFBF62A}">
  <sheetPr codeName="Sheet14">
    <tabColor theme="3" tint="0.39997558519241921"/>
  </sheetPr>
  <dimension ref="A1:H167"/>
  <sheetViews>
    <sheetView zoomScale="120" zoomScaleNormal="120" workbookViewId="0">
      <pane ySplit="10" topLeftCell="A11" activePane="bottomLeft" state="frozen"/>
      <selection pane="bottomLeft" activeCell="A11" sqref="A11"/>
    </sheetView>
  </sheetViews>
  <sheetFormatPr defaultColWidth="11.5703125"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9" max="9" width="1.7109375" customWidth="1"/>
    <col min="10" max="10" width="11" customWidth="1"/>
  </cols>
  <sheetData>
    <row r="1" spans="1:8">
      <c r="A1" s="6" t="s">
        <v>0</v>
      </c>
    </row>
    <row r="2" spans="1:8" ht="20.25" thickBot="1">
      <c r="B2" s="4" t="s">
        <v>151</v>
      </c>
      <c r="F2" s="37" t="s">
        <v>152</v>
      </c>
    </row>
    <row r="3" spans="1:8" ht="13.5" thickTop="1"/>
    <row r="4" spans="1:8" ht="27" thickBot="1">
      <c r="B4" s="5" t="s">
        <v>50</v>
      </c>
      <c r="F4" s="36" t="str">
        <f ca="1">Overall_G_CAT_Level</f>
        <v>N/A</v>
      </c>
    </row>
    <row r="5" spans="1:8" ht="13.5" thickTop="1"/>
    <row r="6" spans="1:8" ht="124.9" customHeight="1">
      <c r="B6" s="56" t="s">
        <v>153</v>
      </c>
      <c r="C6" s="56"/>
      <c r="D6" s="56"/>
      <c r="E6" s="56"/>
      <c r="F6" s="56"/>
    </row>
    <row r="8" spans="1:8" ht="18" thickBot="1">
      <c r="B8" s="2" t="s">
        <v>52</v>
      </c>
      <c r="D8" s="5" t="s">
        <v>53</v>
      </c>
      <c r="E8" s="5"/>
      <c r="F8" s="5"/>
      <c r="G8" s="5"/>
      <c r="H8" s="5"/>
    </row>
    <row r="9" spans="1:8" ht="13.5" thickTop="1"/>
    <row r="10" spans="1:8" ht="15.75" thickBot="1">
      <c r="D10" s="20" t="s">
        <v>54</v>
      </c>
      <c r="F10" s="20" t="s">
        <v>55</v>
      </c>
      <c r="H10" s="20" t="s">
        <v>56</v>
      </c>
    </row>
    <row r="11" spans="1:8">
      <c r="A11" s="9"/>
      <c r="B11" s="8" t="s">
        <v>154</v>
      </c>
      <c r="C11" s="8"/>
      <c r="D11" s="8"/>
      <c r="E11" s="8"/>
      <c r="F11" s="8"/>
      <c r="G11" s="8"/>
      <c r="H11" s="8"/>
    </row>
    <row r="12" spans="1:8">
      <c r="A12" s="3" t="s">
        <v>155</v>
      </c>
      <c r="B12" t="s">
        <v>156</v>
      </c>
      <c r="D12" s="14"/>
      <c r="F12" s="14"/>
      <c r="H12" s="28">
        <v>1</v>
      </c>
    </row>
    <row r="14" spans="1:8">
      <c r="B14" s="21" t="s">
        <v>60</v>
      </c>
    </row>
    <row r="15" spans="1:8" ht="58.15" customHeight="1">
      <c r="B15" s="57" t="s">
        <v>157</v>
      </c>
      <c r="C15" s="57"/>
      <c r="D15" s="57"/>
      <c r="E15" s="57"/>
      <c r="F15" s="57"/>
    </row>
    <row r="17" spans="1:8" ht="25.5">
      <c r="A17" s="3" t="s">
        <v>158</v>
      </c>
      <c r="B17" t="s">
        <v>159</v>
      </c>
      <c r="D17" s="14"/>
      <c r="F17" s="14"/>
      <c r="H17" s="28">
        <v>0.8</v>
      </c>
    </row>
    <row r="19" spans="1:8">
      <c r="B19" s="21" t="s">
        <v>60</v>
      </c>
    </row>
    <row r="20" spans="1:8" ht="28.9" customHeight="1">
      <c r="B20" s="57" t="s">
        <v>160</v>
      </c>
      <c r="C20" s="57"/>
      <c r="D20" s="57"/>
      <c r="E20" s="57"/>
      <c r="F20" s="57"/>
    </row>
    <row r="22" spans="1:8" ht="25.5">
      <c r="A22" s="3" t="s">
        <v>161</v>
      </c>
      <c r="B22" t="s">
        <v>162</v>
      </c>
      <c r="D22" s="14"/>
      <c r="F22" s="14"/>
      <c r="H22" s="28">
        <v>0.05</v>
      </c>
    </row>
    <row r="24" spans="1:8">
      <c r="B24" s="21" t="s">
        <v>60</v>
      </c>
    </row>
    <row r="25" spans="1:8" ht="43.15" customHeight="1">
      <c r="B25" s="57" t="s">
        <v>163</v>
      </c>
      <c r="C25" s="57"/>
      <c r="D25" s="57"/>
      <c r="E25" s="57"/>
      <c r="F25" s="57"/>
    </row>
    <row r="27" spans="1:8" ht="25.5">
      <c r="A27" s="3" t="s">
        <v>164</v>
      </c>
      <c r="B27" t="s">
        <v>165</v>
      </c>
      <c r="D27" s="14"/>
      <c r="F27" s="14"/>
      <c r="H27" s="28">
        <v>0.15</v>
      </c>
    </row>
    <row r="29" spans="1:8">
      <c r="B29" s="21" t="s">
        <v>60</v>
      </c>
    </row>
    <row r="30" spans="1:8" ht="30" customHeight="1">
      <c r="B30" s="57" t="s">
        <v>166</v>
      </c>
      <c r="C30" s="57"/>
      <c r="D30" s="57"/>
      <c r="E30" s="57"/>
      <c r="F30" s="57"/>
    </row>
    <row r="32" spans="1:8">
      <c r="A32" s="3" t="s">
        <v>167</v>
      </c>
      <c r="B32" t="s">
        <v>90</v>
      </c>
      <c r="D32" s="14"/>
      <c r="F32" s="14"/>
      <c r="H32" s="28">
        <v>0</v>
      </c>
    </row>
    <row r="34" spans="1:8">
      <c r="B34" s="21" t="s">
        <v>60</v>
      </c>
    </row>
    <row r="35" spans="1:8">
      <c r="B35" s="57" t="s">
        <v>91</v>
      </c>
      <c r="C35" s="57"/>
      <c r="D35" s="57"/>
      <c r="E35" s="57"/>
      <c r="F35" s="57"/>
    </row>
    <row r="36" spans="1:8">
      <c r="B36" s="7"/>
      <c r="C36" s="7"/>
      <c r="D36" s="7"/>
      <c r="E36" s="7"/>
      <c r="F36" s="7"/>
    </row>
    <row r="37" spans="1:8">
      <c r="A37" s="9"/>
      <c r="B37" s="8" t="s">
        <v>168</v>
      </c>
      <c r="C37" s="8"/>
      <c r="D37" s="8"/>
      <c r="E37" s="8"/>
      <c r="F37" s="8"/>
      <c r="G37" s="8"/>
      <c r="H37" s="8"/>
    </row>
    <row r="38" spans="1:8">
      <c r="A38" s="3" t="s">
        <v>169</v>
      </c>
      <c r="B38" t="s">
        <v>170</v>
      </c>
      <c r="D38" s="14"/>
      <c r="F38" s="14"/>
      <c r="H38" s="28">
        <v>1</v>
      </c>
    </row>
    <row r="40" spans="1:8">
      <c r="B40" s="21" t="s">
        <v>60</v>
      </c>
    </row>
    <row r="41" spans="1:8" ht="42" customHeight="1">
      <c r="B41" s="57" t="s">
        <v>171</v>
      </c>
      <c r="C41" s="57"/>
      <c r="D41" s="57"/>
      <c r="E41" s="57"/>
      <c r="F41" s="57"/>
    </row>
    <row r="43" spans="1:8">
      <c r="A43" s="3" t="s">
        <v>172</v>
      </c>
      <c r="B43" t="s">
        <v>173</v>
      </c>
      <c r="D43" s="14"/>
      <c r="F43" s="14"/>
      <c r="H43" s="28">
        <v>0.5</v>
      </c>
    </row>
    <row r="45" spans="1:8">
      <c r="B45" s="21" t="s">
        <v>60</v>
      </c>
    </row>
    <row r="46" spans="1:8" ht="43.15" customHeight="1">
      <c r="B46" s="57" t="s">
        <v>174</v>
      </c>
      <c r="C46" s="57"/>
      <c r="D46" s="57"/>
      <c r="E46" s="57"/>
      <c r="F46" s="57"/>
    </row>
    <row r="48" spans="1:8">
      <c r="A48" s="3" t="s">
        <v>175</v>
      </c>
      <c r="B48" t="s">
        <v>176</v>
      </c>
      <c r="D48" s="14"/>
      <c r="F48" s="14"/>
      <c r="H48" s="38">
        <v>2.5000000000000001E-2</v>
      </c>
    </row>
    <row r="50" spans="1:8">
      <c r="B50" s="21" t="s">
        <v>60</v>
      </c>
    </row>
    <row r="51" spans="1:8" ht="28.15" customHeight="1">
      <c r="B51" s="57" t="s">
        <v>177</v>
      </c>
      <c r="C51" s="57"/>
      <c r="D51" s="57"/>
      <c r="E51" s="57"/>
      <c r="F51" s="57"/>
    </row>
    <row r="53" spans="1:8">
      <c r="A53" s="3" t="s">
        <v>178</v>
      </c>
      <c r="B53" t="s">
        <v>179</v>
      </c>
      <c r="D53" s="14"/>
      <c r="F53" s="14"/>
      <c r="H53" s="28">
        <v>0.2</v>
      </c>
    </row>
    <row r="55" spans="1:8">
      <c r="B55" s="21" t="s">
        <v>60</v>
      </c>
    </row>
    <row r="56" spans="1:8" ht="28.15" customHeight="1">
      <c r="B56" s="57" t="s">
        <v>180</v>
      </c>
      <c r="C56" s="57"/>
      <c r="D56" s="57"/>
      <c r="E56" s="57"/>
      <c r="F56" s="57"/>
    </row>
    <row r="58" spans="1:8" ht="25.5">
      <c r="A58" s="3" t="s">
        <v>181</v>
      </c>
      <c r="B58" t="s">
        <v>182</v>
      </c>
      <c r="D58" s="14"/>
      <c r="F58" s="14"/>
      <c r="H58" s="38">
        <v>0.17499999999999999</v>
      </c>
    </row>
    <row r="60" spans="1:8">
      <c r="B60" s="21" t="s">
        <v>60</v>
      </c>
    </row>
    <row r="61" spans="1:8" ht="42" customHeight="1">
      <c r="B61" s="57" t="s">
        <v>183</v>
      </c>
      <c r="C61" s="57"/>
      <c r="D61" s="57"/>
      <c r="E61" s="57"/>
      <c r="F61" s="57"/>
    </row>
    <row r="63" spans="1:8" ht="38.25">
      <c r="A63" s="3" t="s">
        <v>184</v>
      </c>
      <c r="B63" t="s">
        <v>185</v>
      </c>
      <c r="D63" s="14"/>
      <c r="F63" s="14"/>
      <c r="H63" s="28">
        <v>0.05</v>
      </c>
    </row>
    <row r="65" spans="1:8">
      <c r="B65" s="21" t="s">
        <v>60</v>
      </c>
    </row>
    <row r="66" spans="1:8" ht="14.45" customHeight="1">
      <c r="B66" s="57" t="s">
        <v>186</v>
      </c>
      <c r="C66" s="57"/>
      <c r="D66" s="57"/>
      <c r="E66" s="57"/>
      <c r="F66" s="57"/>
    </row>
    <row r="68" spans="1:8" ht="25.5">
      <c r="A68" s="3" t="s">
        <v>187</v>
      </c>
      <c r="B68" t="s">
        <v>188</v>
      </c>
      <c r="D68" s="14"/>
      <c r="F68" s="14"/>
      <c r="H68" s="38">
        <v>2.5000000000000001E-2</v>
      </c>
    </row>
    <row r="70" spans="1:8">
      <c r="B70" s="21" t="s">
        <v>60</v>
      </c>
    </row>
    <row r="71" spans="1:8" ht="28.15" customHeight="1">
      <c r="B71" s="57" t="s">
        <v>189</v>
      </c>
      <c r="C71" s="57"/>
      <c r="D71" s="57"/>
      <c r="E71" s="57"/>
      <c r="F71" s="57"/>
    </row>
    <row r="73" spans="1:8" ht="38.25">
      <c r="A73" s="3" t="s">
        <v>190</v>
      </c>
      <c r="B73" t="s">
        <v>191</v>
      </c>
      <c r="D73" s="14"/>
      <c r="F73" s="14"/>
      <c r="H73" s="38">
        <v>2.5000000000000001E-2</v>
      </c>
    </row>
    <row r="75" spans="1:8">
      <c r="B75" s="21" t="s">
        <v>60</v>
      </c>
    </row>
    <row r="76" spans="1:8" ht="28.9" customHeight="1">
      <c r="B76" s="57" t="s">
        <v>192</v>
      </c>
      <c r="C76" s="57"/>
      <c r="D76" s="57"/>
      <c r="E76" s="57"/>
      <c r="F76" s="57"/>
    </row>
    <row r="78" spans="1:8">
      <c r="A78" s="3" t="s">
        <v>193</v>
      </c>
      <c r="B78" t="s">
        <v>90</v>
      </c>
      <c r="D78" s="14"/>
      <c r="F78" s="14"/>
      <c r="H78" s="28">
        <v>0</v>
      </c>
    </row>
    <row r="80" spans="1:8">
      <c r="B80" s="21" t="s">
        <v>60</v>
      </c>
    </row>
    <row r="81" spans="1:8">
      <c r="B81" s="57" t="s">
        <v>91</v>
      </c>
      <c r="C81" s="57"/>
      <c r="D81" s="57"/>
      <c r="E81" s="57"/>
      <c r="F81" s="57"/>
    </row>
    <row r="82" spans="1:8">
      <c r="B82" s="7"/>
      <c r="C82" s="7"/>
      <c r="D82" s="7"/>
      <c r="E82" s="7"/>
      <c r="F82" s="7"/>
    </row>
    <row r="83" spans="1:8">
      <c r="A83" s="9"/>
      <c r="B83" s="8" t="s">
        <v>194</v>
      </c>
      <c r="C83" s="8"/>
      <c r="D83" s="8"/>
      <c r="E83" s="8"/>
      <c r="F83" s="8"/>
      <c r="G83" s="8"/>
      <c r="H83" s="8"/>
    </row>
    <row r="84" spans="1:8" ht="25.5">
      <c r="A84" s="3" t="s">
        <v>195</v>
      </c>
      <c r="B84" t="s">
        <v>196</v>
      </c>
      <c r="D84" s="14"/>
      <c r="F84" s="14"/>
      <c r="H84" s="28">
        <v>1</v>
      </c>
    </row>
    <row r="86" spans="1:8">
      <c r="B86" s="21" t="s">
        <v>60</v>
      </c>
    </row>
    <row r="87" spans="1:8" ht="55.9" customHeight="1">
      <c r="B87" s="57" t="s">
        <v>197</v>
      </c>
      <c r="C87" s="57"/>
      <c r="D87" s="57"/>
      <c r="E87" s="57"/>
      <c r="F87" s="57"/>
    </row>
    <row r="89" spans="1:8">
      <c r="A89" s="3" t="s">
        <v>198</v>
      </c>
      <c r="B89" t="s">
        <v>199</v>
      </c>
      <c r="D89" s="14"/>
      <c r="F89" s="14"/>
      <c r="H89" s="28">
        <v>0.75</v>
      </c>
    </row>
    <row r="91" spans="1:8">
      <c r="B91" s="21" t="s">
        <v>60</v>
      </c>
    </row>
    <row r="92" spans="1:8" ht="28.15" customHeight="1">
      <c r="B92" s="57" t="s">
        <v>200</v>
      </c>
      <c r="C92" s="57"/>
      <c r="D92" s="57"/>
      <c r="E92" s="57"/>
      <c r="F92" s="57"/>
    </row>
    <row r="94" spans="1:8">
      <c r="A94" s="3" t="s">
        <v>201</v>
      </c>
      <c r="B94" t="s">
        <v>202</v>
      </c>
      <c r="D94" s="14"/>
      <c r="F94" s="14"/>
      <c r="H94" s="28">
        <v>0.25</v>
      </c>
    </row>
    <row r="96" spans="1:8">
      <c r="B96" s="21" t="s">
        <v>60</v>
      </c>
    </row>
    <row r="97" spans="1:8">
      <c r="B97" s="57" t="s">
        <v>203</v>
      </c>
      <c r="C97" s="57"/>
      <c r="D97" s="57"/>
      <c r="E97" s="57"/>
      <c r="F97" s="57"/>
    </row>
    <row r="99" spans="1:8">
      <c r="A99" s="3" t="s">
        <v>204</v>
      </c>
      <c r="B99" t="s">
        <v>90</v>
      </c>
      <c r="D99" s="14"/>
      <c r="F99" s="14"/>
      <c r="H99" s="28">
        <v>0</v>
      </c>
    </row>
    <row r="101" spans="1:8">
      <c r="B101" s="21" t="s">
        <v>60</v>
      </c>
    </row>
    <row r="102" spans="1:8">
      <c r="B102" s="57" t="s">
        <v>91</v>
      </c>
      <c r="C102" s="57"/>
      <c r="D102" s="57"/>
      <c r="E102" s="57"/>
      <c r="F102" s="57"/>
    </row>
    <row r="103" spans="1:8">
      <c r="B103" s="7"/>
      <c r="C103" s="7"/>
      <c r="D103" s="7"/>
      <c r="E103" s="7"/>
      <c r="F103" s="7"/>
    </row>
    <row r="104" spans="1:8">
      <c r="A104" s="9"/>
      <c r="B104" s="8" t="s">
        <v>205</v>
      </c>
      <c r="C104" s="8"/>
      <c r="D104" s="8"/>
      <c r="E104" s="8"/>
      <c r="F104" s="8"/>
      <c r="G104" s="8"/>
      <c r="H104" s="8"/>
    </row>
    <row r="105" spans="1:8">
      <c r="A105" s="3" t="s">
        <v>206</v>
      </c>
      <c r="B105" t="s">
        <v>207</v>
      </c>
      <c r="D105" s="14"/>
      <c r="F105" s="14"/>
      <c r="H105" s="28">
        <v>1</v>
      </c>
    </row>
    <row r="107" spans="1:8">
      <c r="B107" s="21" t="s">
        <v>60</v>
      </c>
    </row>
    <row r="108" spans="1:8" ht="43.15" customHeight="1">
      <c r="B108" s="57" t="s">
        <v>208</v>
      </c>
      <c r="C108" s="57"/>
      <c r="D108" s="57"/>
      <c r="E108" s="57"/>
      <c r="F108" s="57"/>
    </row>
    <row r="110" spans="1:8" ht="25.5">
      <c r="A110" s="3" t="s">
        <v>209</v>
      </c>
      <c r="B110" t="s">
        <v>210</v>
      </c>
      <c r="D110" s="14"/>
      <c r="F110" s="14"/>
      <c r="H110" s="28">
        <v>0.35</v>
      </c>
    </row>
    <row r="112" spans="1:8">
      <c r="B112" s="21" t="s">
        <v>60</v>
      </c>
    </row>
    <row r="113" spans="1:8" ht="28.15" customHeight="1">
      <c r="B113" s="57" t="s">
        <v>211</v>
      </c>
      <c r="C113" s="57"/>
      <c r="D113" s="57"/>
      <c r="E113" s="57"/>
      <c r="F113" s="57"/>
    </row>
    <row r="115" spans="1:8" ht="38.25">
      <c r="A115" s="3" t="s">
        <v>212</v>
      </c>
      <c r="B115" t="s">
        <v>213</v>
      </c>
      <c r="D115" s="14"/>
      <c r="F115" s="14"/>
      <c r="H115" s="28">
        <v>0.35</v>
      </c>
    </row>
    <row r="117" spans="1:8">
      <c r="B117" s="21" t="s">
        <v>60</v>
      </c>
    </row>
    <row r="118" spans="1:8" ht="28.15" customHeight="1">
      <c r="B118" s="57" t="s">
        <v>214</v>
      </c>
      <c r="C118" s="57"/>
      <c r="D118" s="57"/>
      <c r="E118" s="57"/>
      <c r="F118" s="57"/>
    </row>
    <row r="120" spans="1:8">
      <c r="A120" s="3" t="s">
        <v>215</v>
      </c>
      <c r="B120" t="s">
        <v>216</v>
      </c>
      <c r="D120" s="14"/>
      <c r="F120" s="14"/>
      <c r="H120" s="28">
        <v>0.15</v>
      </c>
    </row>
    <row r="122" spans="1:8">
      <c r="B122" s="21" t="s">
        <v>60</v>
      </c>
    </row>
    <row r="123" spans="1:8" ht="43.15" customHeight="1">
      <c r="B123" s="57" t="s">
        <v>217</v>
      </c>
      <c r="C123" s="57"/>
      <c r="D123" s="57"/>
      <c r="E123" s="57"/>
      <c r="F123" s="57"/>
    </row>
    <row r="125" spans="1:8" ht="25.5">
      <c r="A125" s="3" t="s">
        <v>218</v>
      </c>
      <c r="B125" t="s">
        <v>219</v>
      </c>
      <c r="D125" s="14"/>
      <c r="F125" s="14"/>
      <c r="H125" s="28">
        <v>0.15</v>
      </c>
    </row>
    <row r="127" spans="1:8">
      <c r="B127" s="21" t="s">
        <v>60</v>
      </c>
    </row>
    <row r="128" spans="1:8" ht="28.15" customHeight="1">
      <c r="B128" s="57" t="s">
        <v>220</v>
      </c>
      <c r="C128" s="57"/>
      <c r="D128" s="57"/>
      <c r="E128" s="57"/>
      <c r="F128" s="57"/>
    </row>
    <row r="130" spans="1:8">
      <c r="A130" s="3" t="s">
        <v>221</v>
      </c>
      <c r="B130" t="s">
        <v>90</v>
      </c>
      <c r="D130" s="14"/>
      <c r="F130" s="14"/>
      <c r="H130" s="28">
        <v>0</v>
      </c>
    </row>
    <row r="132" spans="1:8">
      <c r="B132" s="21" t="s">
        <v>60</v>
      </c>
    </row>
    <row r="133" spans="1:8">
      <c r="B133" s="57" t="s">
        <v>91</v>
      </c>
      <c r="C133" s="57"/>
      <c r="D133" s="57"/>
      <c r="E133" s="57"/>
      <c r="F133" s="57"/>
    </row>
    <row r="134" spans="1:8">
      <c r="B134" s="7"/>
      <c r="C134" s="7"/>
      <c r="D134" s="7"/>
      <c r="E134" s="7"/>
      <c r="F134" s="7"/>
    </row>
    <row r="135" spans="1:8">
      <c r="A135" s="9"/>
      <c r="B135" s="8" t="s">
        <v>222</v>
      </c>
      <c r="C135" s="8"/>
      <c r="D135" s="8"/>
      <c r="E135" s="8"/>
      <c r="F135" s="8"/>
      <c r="G135" s="8"/>
      <c r="H135" s="8"/>
    </row>
    <row r="136" spans="1:8">
      <c r="A136" s="3" t="s">
        <v>223</v>
      </c>
      <c r="B136" t="s">
        <v>224</v>
      </c>
      <c r="D136" s="14"/>
      <c r="F136" s="14"/>
      <c r="H136" s="28">
        <v>1</v>
      </c>
    </row>
    <row r="138" spans="1:8">
      <c r="B138" s="21" t="s">
        <v>60</v>
      </c>
    </row>
    <row r="139" spans="1:8">
      <c r="B139" s="57" t="s">
        <v>225</v>
      </c>
      <c r="C139" s="57"/>
      <c r="D139" s="57"/>
      <c r="E139" s="57"/>
      <c r="F139" s="57"/>
    </row>
    <row r="141" spans="1:8" ht="38.25">
      <c r="A141" s="3" t="s">
        <v>226</v>
      </c>
      <c r="B141" t="s">
        <v>227</v>
      </c>
      <c r="D141" s="14"/>
      <c r="F141" s="14"/>
      <c r="H141" s="28">
        <v>0.8</v>
      </c>
    </row>
    <row r="143" spans="1:8">
      <c r="B143" s="21" t="s">
        <v>60</v>
      </c>
    </row>
    <row r="144" spans="1:8" ht="30" customHeight="1">
      <c r="B144" s="57" t="s">
        <v>228</v>
      </c>
      <c r="C144" s="57"/>
      <c r="D144" s="57"/>
      <c r="E144" s="57"/>
      <c r="F144" s="57"/>
    </row>
    <row r="146" spans="1:8" ht="25.5">
      <c r="A146" s="3" t="s">
        <v>229</v>
      </c>
      <c r="B146" t="s">
        <v>230</v>
      </c>
      <c r="D146" s="14"/>
      <c r="F146" s="14"/>
      <c r="H146" s="28">
        <v>0.2</v>
      </c>
    </row>
    <row r="148" spans="1:8">
      <c r="B148" s="21" t="s">
        <v>60</v>
      </c>
    </row>
    <row r="149" spans="1:8" ht="28.9" customHeight="1">
      <c r="B149" s="57" t="s">
        <v>220</v>
      </c>
      <c r="C149" s="57"/>
      <c r="D149" s="57"/>
      <c r="E149" s="57"/>
      <c r="F149" s="57"/>
    </row>
    <row r="151" spans="1:8">
      <c r="A151" s="3" t="s">
        <v>231</v>
      </c>
      <c r="B151" t="s">
        <v>145</v>
      </c>
      <c r="D151" s="14"/>
      <c r="F151" s="14"/>
      <c r="H151" s="28">
        <v>0</v>
      </c>
    </row>
    <row r="153" spans="1:8">
      <c r="B153" s="21" t="s">
        <v>60</v>
      </c>
    </row>
    <row r="154" spans="1:8">
      <c r="B154" s="57" t="s">
        <v>91</v>
      </c>
      <c r="C154" s="57"/>
      <c r="D154" s="57"/>
      <c r="E154" s="57"/>
      <c r="F154" s="57"/>
    </row>
    <row r="155" spans="1:8">
      <c r="B155" s="7"/>
      <c r="C155" s="7"/>
      <c r="D155" s="7"/>
      <c r="E155" s="7"/>
      <c r="F155" s="7"/>
    </row>
    <row r="156" spans="1:8">
      <c r="A156" s="9"/>
      <c r="B156" s="8" t="s">
        <v>232</v>
      </c>
      <c r="C156" s="8"/>
      <c r="D156" s="8"/>
      <c r="E156" s="8"/>
      <c r="F156" s="8"/>
      <c r="G156" s="8"/>
      <c r="H156" s="8"/>
    </row>
    <row r="157" spans="1:8">
      <c r="A157" s="3" t="s">
        <v>233</v>
      </c>
      <c r="B157" t="s">
        <v>234</v>
      </c>
      <c r="D157" s="14"/>
      <c r="F157" s="14"/>
      <c r="H157" s="28">
        <v>1</v>
      </c>
    </row>
    <row r="159" spans="1:8">
      <c r="B159" s="21" t="s">
        <v>60</v>
      </c>
    </row>
    <row r="160" spans="1:8" ht="120" customHeight="1">
      <c r="B160" s="57" t="s">
        <v>235</v>
      </c>
      <c r="C160" s="57"/>
      <c r="D160" s="57"/>
      <c r="E160" s="57"/>
      <c r="F160" s="57"/>
    </row>
    <row r="161" spans="1:8">
      <c r="B161" s="7"/>
    </row>
    <row r="162" spans="1:8">
      <c r="A162" s="3" t="s">
        <v>236</v>
      </c>
      <c r="B162" t="s">
        <v>90</v>
      </c>
      <c r="D162" s="14"/>
      <c r="F162" s="14"/>
      <c r="H162" s="28">
        <v>0</v>
      </c>
    </row>
    <row r="164" spans="1:8">
      <c r="B164" s="21" t="s">
        <v>60</v>
      </c>
    </row>
    <row r="165" spans="1:8">
      <c r="B165" s="57" t="s">
        <v>91</v>
      </c>
      <c r="C165" s="57"/>
      <c r="D165" s="57"/>
      <c r="E165" s="57"/>
      <c r="F165" s="57"/>
    </row>
    <row r="166" spans="1:8">
      <c r="B166" s="7"/>
    </row>
    <row r="167" spans="1:8">
      <c r="F167" s="6" t="s">
        <v>150</v>
      </c>
    </row>
  </sheetData>
  <sheetProtection algorithmName="SHA-1" hashValue="Dn8S5Q1UDIyRwqg4cDvIa9IkkJA=" saltValue="mViFDFYWpYpRnwo/BXqajA==" spinCount="100000" sheet="1" objects="1" scenarios="1"/>
  <mergeCells count="31">
    <mergeCell ref="B35:F35"/>
    <mergeCell ref="B30:F30"/>
    <mergeCell ref="B25:F25"/>
    <mergeCell ref="B20:F20"/>
    <mergeCell ref="B15:F15"/>
    <mergeCell ref="B61:F61"/>
    <mergeCell ref="B56:F56"/>
    <mergeCell ref="B51:F51"/>
    <mergeCell ref="B46:F46"/>
    <mergeCell ref="B41:F41"/>
    <mergeCell ref="B87:F87"/>
    <mergeCell ref="B81:F81"/>
    <mergeCell ref="B76:F76"/>
    <mergeCell ref="B71:F71"/>
    <mergeCell ref="B66:F66"/>
    <mergeCell ref="B6:F6"/>
    <mergeCell ref="B165:F165"/>
    <mergeCell ref="B160:F160"/>
    <mergeCell ref="B154:F154"/>
    <mergeCell ref="B149:F149"/>
    <mergeCell ref="B144:F144"/>
    <mergeCell ref="B139:F139"/>
    <mergeCell ref="B133:F133"/>
    <mergeCell ref="B128:F128"/>
    <mergeCell ref="B123:F123"/>
    <mergeCell ref="B118:F118"/>
    <mergeCell ref="B113:F113"/>
    <mergeCell ref="B108:F108"/>
    <mergeCell ref="B102:F102"/>
    <mergeCell ref="B97:F97"/>
    <mergeCell ref="B92:F92"/>
  </mergeCells>
  <dataValidations disablePrompts="1" count="30">
    <dataValidation type="list" allowBlank="1" showInputMessage="1" showErrorMessage="1" sqref="D12" xr:uid="{4BB15DDA-7C97-D04C-8E76-FDD162C25299}">
      <formula1>R.G_PROD.0</formula1>
    </dataValidation>
    <dataValidation type="list" allowBlank="1" showInputMessage="1" showErrorMessage="1" sqref="D17" xr:uid="{FC07566B-1470-CD45-BD7F-792FBFBE637B}">
      <formula1>R.G_PROD.1</formula1>
    </dataValidation>
    <dataValidation type="list" allowBlank="1" showInputMessage="1" showErrorMessage="1" sqref="D22" xr:uid="{C8B4393A-2FB0-B04C-BEF4-016CD33F6ACF}">
      <formula1>R.G_PROD.2</formula1>
    </dataValidation>
    <dataValidation type="list" allowBlank="1" showInputMessage="1" showErrorMessage="1" sqref="D27" xr:uid="{64A4BBC1-3A97-FD42-8326-AEDCD86D7A2E}">
      <formula1>R.G_PROD.2.1</formula1>
    </dataValidation>
    <dataValidation type="list" allowBlank="1" showInputMessage="1" showErrorMessage="1" sqref="D32" xr:uid="{6057306A-52F1-F848-84E4-B7A4E778E4D2}">
      <formula1>R.G_PROD.3</formula1>
    </dataValidation>
    <dataValidation type="list" allowBlank="1" showInputMessage="1" showErrorMessage="1" sqref="D38" xr:uid="{ECCF18E2-D17B-AD49-8EC5-A46763072012}">
      <formula1>R.G_TNSP.0</formula1>
    </dataValidation>
    <dataValidation type="list" allowBlank="1" showInputMessage="1" showErrorMessage="1" sqref="D43" xr:uid="{9FF5A7B8-42EC-564A-B4CE-BE57A5ED553C}">
      <formula1>R.G_TNSP.1</formula1>
    </dataValidation>
    <dataValidation type="list" allowBlank="1" showInputMessage="1" showErrorMessage="1" sqref="D48" xr:uid="{FB82A99B-556E-EF4D-9279-3018E2027E0B}">
      <formula1>R.G_TNSP.2</formula1>
    </dataValidation>
    <dataValidation type="list" allowBlank="1" showInputMessage="1" showErrorMessage="1" sqref="D53" xr:uid="{10CC8F4F-EE26-1840-AB24-C6E589A17A97}">
      <formula1>R.G_TNSP.3</formula1>
    </dataValidation>
    <dataValidation type="list" allowBlank="1" showInputMessage="1" showErrorMessage="1" sqref="D58" xr:uid="{785EF787-FA6E-C748-9A57-3EB068A11D8E}">
      <formula1>R.G_TNSP.4</formula1>
    </dataValidation>
    <dataValidation type="list" allowBlank="1" showInputMessage="1" showErrorMessage="1" sqref="D63" xr:uid="{B80F6BCE-2B35-2E40-A45B-CA4D01C51762}">
      <formula1>R.G_TNSP.5</formula1>
    </dataValidation>
    <dataValidation type="list" allowBlank="1" showInputMessage="1" showErrorMessage="1" sqref="D68" xr:uid="{B4EE1224-46EE-1940-95BC-0E8A05A82328}">
      <formula1>R.G_TNSP.6</formula1>
    </dataValidation>
    <dataValidation type="list" allowBlank="1" showInputMessage="1" showErrorMessage="1" sqref="D73" xr:uid="{6191BAB0-42E7-D44F-B5DB-408384734A6E}">
      <formula1>R.G_TNSP.7</formula1>
    </dataValidation>
    <dataValidation type="list" allowBlank="1" showInputMessage="1" showErrorMessage="1" sqref="D78" xr:uid="{EA726514-D15F-ED43-B036-8CC65EB19B4C}">
      <formula1>R.G_TNSP.8</formula1>
    </dataValidation>
    <dataValidation type="list" allowBlank="1" showInputMessage="1" showErrorMessage="1" sqref="D84" xr:uid="{0168F7E7-1B53-4A4F-B1B6-FD5387928AD4}">
      <formula1>R.G_TRAN.0</formula1>
    </dataValidation>
    <dataValidation type="list" allowBlank="1" showInputMessage="1" showErrorMessage="1" sqref="D89" xr:uid="{2B973508-F081-FE4E-9404-8848E28E0CA6}">
      <formula1>R.G_STOR.1</formula1>
    </dataValidation>
    <dataValidation type="list" allowBlank="1" showInputMessage="1" showErrorMessage="1" sqref="D94" xr:uid="{3DFB664A-481D-A74B-B718-8CA73A9EB4C3}">
      <formula1>R.G_STOR.2</formula1>
    </dataValidation>
    <dataValidation type="list" allowBlank="1" showInputMessage="1" showErrorMessage="1" sqref="D99" xr:uid="{E3F0AA71-A2A6-324E-A7E1-6A45AE6D6A30}">
      <formula1>R.G_STOR.3</formula1>
    </dataValidation>
    <dataValidation type="list" allowBlank="1" showInputMessage="1" showErrorMessage="1" sqref="D105" xr:uid="{19B37388-AB73-5147-895E-9C7C101D9E5F}">
      <formula1>R.G_DNSP.0</formula1>
    </dataValidation>
    <dataValidation type="list" allowBlank="1" showInputMessage="1" showErrorMessage="1" sqref="D110" xr:uid="{548C1BAC-11D8-F847-8B17-6F780027E6E0}">
      <formula1>R.G_DNSP.1</formula1>
    </dataValidation>
    <dataValidation type="list" allowBlank="1" showInputMessage="1" showErrorMessage="1" sqref="D115" xr:uid="{0253F9B4-E742-5149-A09D-004B3EDCB139}">
      <formula1>R.G_DNSP.2</formula1>
    </dataValidation>
    <dataValidation type="list" allowBlank="1" showInputMessage="1" showErrorMessage="1" sqref="D120" xr:uid="{00B5E047-5724-CC47-8CF7-CA2C3CF2799C}">
      <formula1>R.G_DNSP.3</formula1>
    </dataValidation>
    <dataValidation type="list" allowBlank="1" showInputMessage="1" showErrorMessage="1" sqref="D125" xr:uid="{68873352-9C95-864E-8637-5BE4DCFEAE2D}">
      <formula1>R.G_DNSP.4</formula1>
    </dataValidation>
    <dataValidation type="list" allowBlank="1" showInputMessage="1" showErrorMessage="1" sqref="D130" xr:uid="{10842837-ACEB-F64A-A669-FC21962A1039}">
      <formula1>R.G_DNSP.5</formula1>
    </dataValidation>
    <dataValidation type="list" allowBlank="1" showInputMessage="1" showErrorMessage="1" sqref="D136" xr:uid="{CA13440F-773B-D44B-9BE2-F7BBAD4F2A53}">
      <formula1>R.G_RET.0</formula1>
    </dataValidation>
    <dataValidation type="list" allowBlank="1" showInputMessage="1" showErrorMessage="1" sqref="D141" xr:uid="{BD74AF4E-001C-E24A-9517-964AB061F969}">
      <formula1>R.G_RET.1</formula1>
    </dataValidation>
    <dataValidation type="list" allowBlank="1" showInputMessage="1" showErrorMessage="1" sqref="D146" xr:uid="{F968D427-1932-1D40-926F-9EDF2E4771EF}">
      <formula1>R.G_RET.2</formula1>
    </dataValidation>
    <dataValidation type="list" allowBlank="1" showInputMessage="1" showErrorMessage="1" sqref="D151" xr:uid="{23C3E37E-1D60-A040-92DD-6BAE7187B9A8}">
      <formula1>R.G_RET.3</formula1>
    </dataValidation>
    <dataValidation type="list" allowBlank="1" showInputMessage="1" showErrorMessage="1" sqref="D157" xr:uid="{9D83BA9D-EAD7-5041-BFE6-B1BCC7674AAB}">
      <formula1>R.G_OPS.0</formula1>
    </dataValidation>
    <dataValidation type="list" allowBlank="1" showInputMessage="1" showErrorMessage="1" sqref="D162" xr:uid="{422B0ACB-DF80-EE49-BCB4-95232D1B0B7F}">
      <formula1>R.G_OPS.1</formula1>
    </dataValidation>
  </dataValidations>
  <hyperlinks>
    <hyperlink ref="A1" location="Home!G14" tooltip="Click here to return Home" display="Home" xr:uid="{84542698-FD8E-AE4E-822A-124DA367191F}"/>
    <hyperlink ref="F167" location="'G-CAT'!A11" tooltip="Go to Top" display="Go to Top" xr:uid="{DEA15EF2-5268-DD43-9296-41806BFB6943}"/>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66430-8247-4D59-B9AC-86FD1DAF9075}">
  <sheetPr codeName="Sheet15">
    <tabColor theme="3" tint="0.39997558519241921"/>
  </sheetPr>
  <dimension ref="A1:I133"/>
  <sheetViews>
    <sheetView zoomScale="120" zoomScaleNormal="120" workbookViewId="0">
      <pane ySplit="10" topLeftCell="A11" activePane="bottomLeft" state="frozen"/>
      <selection pane="bottomLeft" activeCell="E12" sqref="E12"/>
    </sheetView>
  </sheetViews>
  <sheetFormatPr defaultColWidth="11.5703125" defaultRowHeight="12.75"/>
  <cols>
    <col min="1" max="1" width="11" customWidth="1"/>
    <col min="2" max="2" width="49" customWidth="1"/>
    <col min="3" max="3" width="20.7109375" customWidth="1"/>
    <col min="4" max="4" width="1.7109375" customWidth="1"/>
    <col min="5" max="5" width="22.5703125" customWidth="1"/>
    <col min="6" max="6" width="1.5703125" customWidth="1"/>
    <col min="7" max="7" width="48.7109375" customWidth="1"/>
    <col min="8" max="8" width="1.5703125" customWidth="1"/>
    <col min="10" max="10" width="1.7109375" customWidth="1"/>
    <col min="11" max="11" width="11" customWidth="1"/>
  </cols>
  <sheetData>
    <row r="1" spans="1:9">
      <c r="A1" s="6" t="s">
        <v>0</v>
      </c>
    </row>
    <row r="2" spans="1:9" ht="20.25" thickBot="1">
      <c r="B2" s="48" t="s">
        <v>237</v>
      </c>
      <c r="C2" s="48"/>
      <c r="G2" s="37" t="s">
        <v>238</v>
      </c>
    </row>
    <row r="3" spans="1:9" ht="13.5" thickTop="1"/>
    <row r="4" spans="1:9" ht="27" thickBot="1">
      <c r="B4" s="5" t="s">
        <v>50</v>
      </c>
      <c r="C4" s="5"/>
      <c r="G4" s="36" t="str" cm="1">
        <f t="array" aca="1" ref="G4" ca="1">Overall_L_CAT_Level</f>
        <v>N/A</v>
      </c>
    </row>
    <row r="5" spans="1:9" ht="13.5" thickTop="1"/>
    <row r="6" spans="1:9" ht="124.9" customHeight="1">
      <c r="B6" s="56" t="s">
        <v>239</v>
      </c>
      <c r="C6" s="56"/>
      <c r="D6" s="56"/>
      <c r="E6" s="56"/>
      <c r="F6" s="56"/>
      <c r="G6" s="56"/>
    </row>
    <row r="8" spans="1:9" ht="18" thickBot="1">
      <c r="B8" s="49" t="s">
        <v>52</v>
      </c>
      <c r="C8" s="49"/>
      <c r="E8" s="5" t="s">
        <v>53</v>
      </c>
      <c r="F8" s="5"/>
      <c r="G8" s="5"/>
      <c r="H8" s="5"/>
      <c r="I8" s="5"/>
    </row>
    <row r="9" spans="1:9" ht="13.5" thickTop="1"/>
    <row r="10" spans="1:9" ht="15.75" thickBot="1">
      <c r="E10" s="20" t="s">
        <v>54</v>
      </c>
      <c r="G10" s="20" t="s">
        <v>55</v>
      </c>
      <c r="I10" s="20" t="s">
        <v>56</v>
      </c>
    </row>
    <row r="11" spans="1:9">
      <c r="A11" s="9"/>
      <c r="B11" s="8" t="s">
        <v>240</v>
      </c>
      <c r="C11" s="8"/>
      <c r="D11" s="8"/>
      <c r="E11" s="8"/>
      <c r="F11" s="8"/>
      <c r="G11" s="8"/>
      <c r="H11" s="8"/>
      <c r="I11" s="8"/>
    </row>
    <row r="12" spans="1:9" ht="27.6" customHeight="1">
      <c r="A12" s="3" t="s">
        <v>241</v>
      </c>
      <c r="B12" s="45" t="s">
        <v>242</v>
      </c>
      <c r="C12" s="45"/>
      <c r="E12" s="14"/>
      <c r="G12" s="14"/>
      <c r="I12" s="28" t="s">
        <v>243</v>
      </c>
    </row>
    <row r="14" spans="1:9">
      <c r="B14" s="21" t="s">
        <v>60</v>
      </c>
      <c r="C14" s="21"/>
    </row>
    <row r="15" spans="1:9">
      <c r="B15" s="57" t="s">
        <v>244</v>
      </c>
      <c r="C15" s="57"/>
      <c r="D15" s="57"/>
      <c r="E15" s="57"/>
      <c r="F15" s="57"/>
      <c r="G15" s="57"/>
    </row>
    <row r="17" spans="1:9" ht="25.5">
      <c r="A17" s="3" t="s">
        <v>245</v>
      </c>
      <c r="B17" s="45" t="s">
        <v>246</v>
      </c>
      <c r="C17" s="45"/>
      <c r="E17" s="14"/>
      <c r="G17" s="14"/>
      <c r="I17" s="28" t="s">
        <v>243</v>
      </c>
    </row>
    <row r="19" spans="1:9">
      <c r="B19" s="21" t="s">
        <v>60</v>
      </c>
      <c r="C19" s="21"/>
    </row>
    <row r="20" spans="1:9" ht="75" customHeight="1">
      <c r="B20" s="57" t="s">
        <v>247</v>
      </c>
      <c r="C20" s="57"/>
      <c r="D20" s="57"/>
      <c r="E20" s="57"/>
      <c r="F20" s="57"/>
      <c r="G20" s="57"/>
    </row>
    <row r="21" spans="1:9">
      <c r="B21" s="7"/>
      <c r="C21" s="7"/>
      <c r="D21" s="7"/>
      <c r="E21" s="7"/>
      <c r="F21" s="7"/>
      <c r="G21" s="7"/>
    </row>
    <row r="22" spans="1:9">
      <c r="B22" s="58" t="s">
        <v>248</v>
      </c>
      <c r="C22" s="58"/>
      <c r="D22" s="58"/>
      <c r="E22" s="58"/>
      <c r="F22" s="58"/>
      <c r="G22" s="58"/>
    </row>
    <row r="24" spans="1:9">
      <c r="A24" s="9"/>
      <c r="B24" s="8" t="s">
        <v>249</v>
      </c>
      <c r="C24" s="8"/>
      <c r="D24" s="8"/>
      <c r="E24" s="8"/>
      <c r="F24" s="8"/>
      <c r="G24" s="8"/>
      <c r="H24" s="8"/>
      <c r="I24" s="8"/>
    </row>
    <row r="25" spans="1:9" ht="25.5">
      <c r="A25" s="3" t="s">
        <v>250</v>
      </c>
      <c r="B25" s="45" t="s">
        <v>251</v>
      </c>
      <c r="C25" s="45"/>
      <c r="E25" s="14"/>
      <c r="G25" s="14"/>
      <c r="I25" s="28" t="s">
        <v>243</v>
      </c>
    </row>
    <row r="27" spans="1:9">
      <c r="B27" s="21" t="s">
        <v>60</v>
      </c>
      <c r="C27" s="21"/>
    </row>
    <row r="28" spans="1:9" ht="101.45" customHeight="1">
      <c r="B28" s="7" t="s">
        <v>252</v>
      </c>
      <c r="C28" s="7"/>
      <c r="D28" s="7"/>
      <c r="E28" s="46" t="s">
        <v>253</v>
      </c>
      <c r="F28" s="46"/>
      <c r="G28" s="46"/>
      <c r="H28" s="46"/>
      <c r="I28" s="46"/>
    </row>
    <row r="30" spans="1:9" ht="25.5">
      <c r="A30" s="3" t="s">
        <v>254</v>
      </c>
      <c r="B30" s="45" t="s">
        <v>255</v>
      </c>
      <c r="C30" s="45"/>
      <c r="E30" s="14"/>
      <c r="G30" s="14"/>
      <c r="I30" s="28" t="s">
        <v>256</v>
      </c>
    </row>
    <row r="32" spans="1:9">
      <c r="B32" s="21" t="s">
        <v>60</v>
      </c>
      <c r="C32" s="21"/>
    </row>
    <row r="33" spans="1:9" ht="61.15" customHeight="1">
      <c r="B33" s="57" t="s">
        <v>257</v>
      </c>
      <c r="C33" s="57"/>
      <c r="D33" s="57"/>
      <c r="E33" s="57"/>
      <c r="F33" s="57"/>
      <c r="G33" s="57"/>
    </row>
    <row r="35" spans="1:9" ht="25.5">
      <c r="A35" s="3" t="s">
        <v>258</v>
      </c>
      <c r="B35" s="45" t="s">
        <v>259</v>
      </c>
      <c r="C35" s="45"/>
      <c r="E35" s="14"/>
      <c r="G35" s="14"/>
      <c r="I35" s="28" t="s">
        <v>260</v>
      </c>
    </row>
    <row r="37" spans="1:9">
      <c r="B37" s="21" t="s">
        <v>60</v>
      </c>
      <c r="C37" s="21"/>
    </row>
    <row r="38" spans="1:9" ht="86.45" customHeight="1">
      <c r="B38" s="46" t="s">
        <v>261</v>
      </c>
      <c r="C38" s="46"/>
      <c r="D38" s="46"/>
      <c r="E38" s="46" t="s">
        <v>262</v>
      </c>
      <c r="F38" s="46"/>
      <c r="G38" s="46"/>
    </row>
    <row r="40" spans="1:9" ht="25.5">
      <c r="A40" s="3" t="s">
        <v>263</v>
      </c>
      <c r="B40" s="45" t="s">
        <v>264</v>
      </c>
      <c r="C40" s="45"/>
      <c r="E40" s="14"/>
      <c r="G40" s="14"/>
      <c r="I40" s="28" t="s">
        <v>265</v>
      </c>
    </row>
    <row r="42" spans="1:9">
      <c r="B42" s="21" t="s">
        <v>60</v>
      </c>
      <c r="C42" s="21"/>
    </row>
    <row r="43" spans="1:9" ht="41.45" customHeight="1">
      <c r="B43" s="57" t="s">
        <v>266</v>
      </c>
      <c r="C43" s="57"/>
      <c r="D43" s="57"/>
      <c r="E43" s="57"/>
      <c r="F43" s="57"/>
      <c r="G43" s="57"/>
    </row>
    <row r="44" spans="1:9" ht="76.5">
      <c r="B44" s="43" t="s">
        <v>267</v>
      </c>
      <c r="C44" s="43"/>
      <c r="D44" s="7"/>
      <c r="E44" s="47" t="s">
        <v>268</v>
      </c>
      <c r="F44" s="47"/>
      <c r="G44" s="47"/>
    </row>
    <row r="46" spans="1:9">
      <c r="A46" s="3" t="s">
        <v>269</v>
      </c>
      <c r="B46" s="45" t="s">
        <v>270</v>
      </c>
      <c r="C46" s="45"/>
      <c r="E46" s="14"/>
      <c r="G46" s="14"/>
      <c r="I46" s="28">
        <v>0</v>
      </c>
    </row>
    <row r="48" spans="1:9">
      <c r="B48" s="21" t="s">
        <v>60</v>
      </c>
      <c r="C48" s="21"/>
    </row>
    <row r="49" spans="1:9" ht="28.15" customHeight="1">
      <c r="B49" s="57" t="s">
        <v>271</v>
      </c>
      <c r="C49" s="57"/>
      <c r="D49" s="57"/>
      <c r="E49" s="57"/>
      <c r="F49" s="57"/>
      <c r="G49" s="57"/>
    </row>
    <row r="51" spans="1:9">
      <c r="A51" s="9"/>
      <c r="B51" s="8" t="s">
        <v>272</v>
      </c>
      <c r="C51" s="8"/>
      <c r="D51" s="8"/>
      <c r="E51" s="8"/>
      <c r="F51" s="8"/>
      <c r="G51" s="8"/>
      <c r="H51" s="8"/>
      <c r="I51" s="8"/>
    </row>
    <row r="52" spans="1:9" ht="25.5">
      <c r="A52" s="3" t="s">
        <v>273</v>
      </c>
      <c r="B52" s="45" t="s">
        <v>274</v>
      </c>
      <c r="C52" s="45"/>
      <c r="E52" s="14"/>
      <c r="G52" s="14"/>
      <c r="I52" s="28" t="s">
        <v>243</v>
      </c>
    </row>
    <row r="54" spans="1:9">
      <c r="B54" s="21" t="s">
        <v>60</v>
      </c>
      <c r="C54" s="21"/>
    </row>
    <row r="55" spans="1:9" ht="42.6" customHeight="1">
      <c r="B55" s="46" t="s">
        <v>275</v>
      </c>
      <c r="C55" s="46"/>
      <c r="D55" s="46"/>
      <c r="E55" s="46" t="s">
        <v>276</v>
      </c>
      <c r="F55" s="46"/>
      <c r="G55" s="46"/>
    </row>
    <row r="57" spans="1:9" ht="25.5">
      <c r="A57" s="3" t="s">
        <v>277</v>
      </c>
      <c r="B57" s="45" t="s">
        <v>278</v>
      </c>
      <c r="C57" s="45"/>
      <c r="E57" s="14"/>
      <c r="G57" s="14"/>
      <c r="I57" s="28" t="s">
        <v>256</v>
      </c>
    </row>
    <row r="59" spans="1:9">
      <c r="B59" s="21" t="s">
        <v>60</v>
      </c>
      <c r="C59" s="21"/>
    </row>
    <row r="60" spans="1:9" ht="90" customHeight="1">
      <c r="B60" s="46" t="s">
        <v>279</v>
      </c>
      <c r="C60" s="46"/>
      <c r="D60" s="46"/>
      <c r="E60" s="46" t="s">
        <v>280</v>
      </c>
      <c r="F60" s="46"/>
      <c r="G60" s="46"/>
    </row>
    <row r="62" spans="1:9" ht="27.6" customHeight="1">
      <c r="A62" s="3" t="s">
        <v>281</v>
      </c>
      <c r="B62" s="45" t="s">
        <v>282</v>
      </c>
      <c r="C62" s="45"/>
      <c r="E62" s="14"/>
      <c r="G62" s="14"/>
      <c r="I62" s="28" t="s">
        <v>283</v>
      </c>
    </row>
    <row r="64" spans="1:9">
      <c r="B64" s="21" t="s">
        <v>60</v>
      </c>
      <c r="C64" s="21"/>
    </row>
    <row r="65" spans="1:9" ht="99" customHeight="1">
      <c r="B65" s="57" t="s">
        <v>284</v>
      </c>
      <c r="C65" s="57"/>
      <c r="D65" s="57"/>
      <c r="E65" s="57"/>
      <c r="F65" s="57"/>
      <c r="G65" s="57"/>
    </row>
    <row r="67" spans="1:9" ht="25.5">
      <c r="A67" s="3" t="s">
        <v>285</v>
      </c>
      <c r="B67" s="45" t="s">
        <v>286</v>
      </c>
      <c r="C67" s="45"/>
      <c r="E67" s="14"/>
      <c r="G67" s="14"/>
      <c r="I67" s="28" t="s">
        <v>287</v>
      </c>
    </row>
    <row r="69" spans="1:9">
      <c r="B69" s="21" t="s">
        <v>60</v>
      </c>
      <c r="C69" s="21"/>
    </row>
    <row r="70" spans="1:9" ht="29.45" customHeight="1">
      <c r="B70" s="57" t="s">
        <v>288</v>
      </c>
      <c r="C70" s="57"/>
      <c r="D70" s="57"/>
      <c r="E70" s="57"/>
      <c r="F70" s="57"/>
      <c r="G70" s="57"/>
    </row>
    <row r="72" spans="1:9" ht="27.6" customHeight="1">
      <c r="A72" s="3" t="s">
        <v>289</v>
      </c>
      <c r="B72" s="45" t="s">
        <v>290</v>
      </c>
      <c r="C72" s="45"/>
      <c r="E72" s="14"/>
      <c r="G72" s="14"/>
      <c r="I72" s="28" t="s">
        <v>291</v>
      </c>
    </row>
    <row r="74" spans="1:9">
      <c r="B74" s="21" t="s">
        <v>60</v>
      </c>
      <c r="C74" s="21"/>
    </row>
    <row r="75" spans="1:9" ht="88.9" customHeight="1">
      <c r="B75" s="57" t="s">
        <v>292</v>
      </c>
      <c r="C75" s="57"/>
      <c r="D75" s="57"/>
      <c r="E75" s="57"/>
      <c r="F75" s="57"/>
      <c r="G75" s="57"/>
    </row>
    <row r="77" spans="1:9">
      <c r="A77" s="3" t="s">
        <v>293</v>
      </c>
      <c r="B77" s="45" t="s">
        <v>270</v>
      </c>
      <c r="C77" s="45"/>
      <c r="E77" s="14"/>
      <c r="G77" s="14"/>
      <c r="I77" s="28">
        <v>0</v>
      </c>
    </row>
    <row r="79" spans="1:9">
      <c r="B79" s="21" t="s">
        <v>60</v>
      </c>
      <c r="C79" s="21"/>
    </row>
    <row r="80" spans="1:9" ht="30" customHeight="1">
      <c r="B80" s="57" t="s">
        <v>294</v>
      </c>
      <c r="C80" s="57"/>
      <c r="D80" s="57"/>
      <c r="E80" s="57"/>
      <c r="F80" s="57"/>
      <c r="G80" s="57"/>
    </row>
    <row r="81" spans="1:9">
      <c r="B81" s="7"/>
      <c r="C81" s="7"/>
      <c r="D81" s="7"/>
      <c r="E81" s="7"/>
      <c r="F81" s="7"/>
      <c r="G81" s="7"/>
    </row>
    <row r="82" spans="1:9">
      <c r="A82" s="9"/>
      <c r="B82" s="8" t="s">
        <v>295</v>
      </c>
      <c r="C82" s="8"/>
      <c r="D82" s="8"/>
      <c r="E82" s="8"/>
      <c r="F82" s="8"/>
      <c r="G82" s="8"/>
      <c r="H82" s="8"/>
      <c r="I82" s="8"/>
    </row>
    <row r="83" spans="1:9" ht="25.5">
      <c r="A83" s="3" t="s">
        <v>296</v>
      </c>
      <c r="B83" s="45" t="s">
        <v>297</v>
      </c>
      <c r="C83" s="45"/>
      <c r="E83" s="14"/>
      <c r="G83" s="14"/>
      <c r="I83" s="28" t="s">
        <v>243</v>
      </c>
    </row>
    <row r="85" spans="1:9">
      <c r="B85" s="21" t="s">
        <v>60</v>
      </c>
      <c r="C85" s="21"/>
    </row>
    <row r="86" spans="1:9" ht="30.6" customHeight="1">
      <c r="B86" s="57" t="s">
        <v>298</v>
      </c>
      <c r="C86" s="57"/>
      <c r="D86" s="57"/>
      <c r="E86" s="57"/>
      <c r="F86" s="57"/>
      <c r="G86" s="57"/>
    </row>
    <row r="88" spans="1:9" ht="25.5">
      <c r="A88" s="3" t="s">
        <v>299</v>
      </c>
      <c r="B88" s="45" t="s">
        <v>300</v>
      </c>
      <c r="C88" s="45"/>
      <c r="E88" s="14"/>
      <c r="G88" s="14"/>
      <c r="I88" s="28" t="s">
        <v>301</v>
      </c>
    </row>
    <row r="90" spans="1:9">
      <c r="B90" s="21" t="s">
        <v>60</v>
      </c>
      <c r="C90" s="21"/>
    </row>
    <row r="91" spans="1:9" ht="60" customHeight="1">
      <c r="B91" s="57" t="s">
        <v>302</v>
      </c>
      <c r="C91" s="57"/>
      <c r="D91" s="57"/>
      <c r="E91" s="57"/>
      <c r="F91" s="57"/>
      <c r="G91" s="57"/>
    </row>
    <row r="93" spans="1:9" ht="25.5">
      <c r="A93" s="3" t="s">
        <v>303</v>
      </c>
      <c r="B93" s="45" t="s">
        <v>304</v>
      </c>
      <c r="C93" s="45"/>
      <c r="E93" s="14"/>
      <c r="G93" s="14"/>
      <c r="I93" s="28" t="s">
        <v>265</v>
      </c>
    </row>
    <row r="95" spans="1:9">
      <c r="B95" s="21" t="s">
        <v>60</v>
      </c>
      <c r="C95" s="21"/>
    </row>
    <row r="96" spans="1:9" ht="30" customHeight="1">
      <c r="B96" s="57" t="s">
        <v>305</v>
      </c>
      <c r="C96" s="57"/>
      <c r="D96" s="57"/>
      <c r="E96" s="57"/>
      <c r="F96" s="57"/>
      <c r="G96" s="57"/>
    </row>
    <row r="98" spans="1:9">
      <c r="A98" s="3" t="s">
        <v>306</v>
      </c>
      <c r="B98" s="45" t="s">
        <v>270</v>
      </c>
      <c r="C98" s="45"/>
      <c r="E98" s="14"/>
      <c r="G98" s="14"/>
      <c r="I98" s="28">
        <v>0</v>
      </c>
    </row>
    <row r="100" spans="1:9">
      <c r="B100" s="21" t="s">
        <v>60</v>
      </c>
      <c r="C100" s="21"/>
    </row>
    <row r="101" spans="1:9">
      <c r="B101" s="57" t="s">
        <v>307</v>
      </c>
      <c r="C101" s="57"/>
      <c r="D101" s="57"/>
      <c r="E101" s="57"/>
      <c r="F101" s="57"/>
      <c r="G101" s="57"/>
    </row>
    <row r="102" spans="1:9">
      <c r="B102" s="21"/>
      <c r="C102" s="21"/>
    </row>
    <row r="103" spans="1:9">
      <c r="A103" s="9"/>
      <c r="B103" s="8" t="s">
        <v>308</v>
      </c>
      <c r="C103" s="8"/>
      <c r="D103" s="8"/>
      <c r="E103" s="8"/>
      <c r="F103" s="8"/>
      <c r="G103" s="8"/>
      <c r="H103" s="8"/>
      <c r="I103" s="8"/>
    </row>
    <row r="104" spans="1:9" ht="25.5">
      <c r="A104" s="3" t="s">
        <v>309</v>
      </c>
      <c r="B104" s="45" t="s">
        <v>310</v>
      </c>
      <c r="C104" s="45"/>
      <c r="E104" s="14"/>
      <c r="G104" s="14"/>
      <c r="I104" s="28" t="s">
        <v>243</v>
      </c>
    </row>
    <row r="106" spans="1:9">
      <c r="B106" s="21" t="s">
        <v>60</v>
      </c>
      <c r="C106" s="21"/>
    </row>
    <row r="107" spans="1:9" ht="28.9" customHeight="1">
      <c r="B107" s="57" t="s">
        <v>311</v>
      </c>
      <c r="C107" s="57"/>
      <c r="D107" s="57"/>
      <c r="E107" s="57"/>
      <c r="F107" s="57"/>
      <c r="G107" s="57"/>
    </row>
    <row r="109" spans="1:9" ht="25.5">
      <c r="A109" s="3" t="s">
        <v>312</v>
      </c>
      <c r="B109" s="45" t="s">
        <v>313</v>
      </c>
      <c r="C109" s="45"/>
      <c r="E109" s="14"/>
      <c r="G109" s="14"/>
      <c r="I109" s="28" t="s">
        <v>314</v>
      </c>
    </row>
    <row r="111" spans="1:9">
      <c r="B111" s="21" t="s">
        <v>60</v>
      </c>
      <c r="C111" s="21"/>
    </row>
    <row r="112" spans="1:9" ht="85.9" customHeight="1">
      <c r="B112" s="46" t="s">
        <v>315</v>
      </c>
      <c r="C112" s="46"/>
      <c r="D112" s="46"/>
      <c r="E112" s="46" t="s">
        <v>316</v>
      </c>
      <c r="F112" s="46"/>
      <c r="G112" s="46"/>
    </row>
    <row r="114" spans="1:9" ht="25.5">
      <c r="A114" s="3" t="s">
        <v>317</v>
      </c>
      <c r="B114" s="45" t="s">
        <v>318</v>
      </c>
      <c r="C114" s="45"/>
      <c r="E114" s="14"/>
      <c r="G114" s="14"/>
      <c r="I114" s="28" t="s">
        <v>265</v>
      </c>
    </row>
    <row r="116" spans="1:9">
      <c r="B116" s="21" t="s">
        <v>60</v>
      </c>
      <c r="C116" s="21"/>
    </row>
    <row r="117" spans="1:9" ht="70.150000000000006" customHeight="1">
      <c r="B117" s="57" t="s">
        <v>319</v>
      </c>
      <c r="C117" s="57"/>
      <c r="D117" s="57"/>
      <c r="E117" s="57"/>
      <c r="F117" s="57"/>
      <c r="G117" s="57"/>
    </row>
    <row r="119" spans="1:9">
      <c r="A119" s="3" t="s">
        <v>320</v>
      </c>
      <c r="B119" t="s">
        <v>321</v>
      </c>
      <c r="C119" t="s">
        <v>322</v>
      </c>
      <c r="E119" s="14"/>
      <c r="G119" s="14"/>
      <c r="I119" s="28">
        <v>0.2</v>
      </c>
    </row>
    <row r="120" spans="1:9">
      <c r="A120" s="44" t="s">
        <v>323</v>
      </c>
      <c r="B120" t="s">
        <v>324</v>
      </c>
      <c r="C120" t="s">
        <v>325</v>
      </c>
      <c r="E120" s="14"/>
      <c r="G120" s="14"/>
      <c r="I120" s="28"/>
    </row>
    <row r="121" spans="1:9">
      <c r="A121" s="44" t="s">
        <v>326</v>
      </c>
      <c r="C121" t="s">
        <v>327</v>
      </c>
      <c r="E121" s="14"/>
      <c r="G121" s="14"/>
      <c r="I121" s="28"/>
    </row>
    <row r="122" spans="1:9">
      <c r="A122" s="44" t="s">
        <v>328</v>
      </c>
      <c r="C122" t="s">
        <v>329</v>
      </c>
      <c r="E122" s="14"/>
      <c r="G122" s="14"/>
      <c r="I122" s="28"/>
    </row>
    <row r="123" spans="1:9" ht="25.5">
      <c r="A123" s="44" t="s">
        <v>330</v>
      </c>
      <c r="C123" t="s">
        <v>331</v>
      </c>
      <c r="E123" s="14"/>
      <c r="G123" s="14"/>
      <c r="I123" s="28"/>
    </row>
    <row r="125" spans="1:9">
      <c r="B125" s="21" t="s">
        <v>60</v>
      </c>
      <c r="C125" s="21"/>
    </row>
    <row r="126" spans="1:9" ht="55.9" customHeight="1">
      <c r="B126" s="46" t="s">
        <v>332</v>
      </c>
      <c r="C126" s="46"/>
      <c r="D126" s="46"/>
      <c r="E126" s="47" t="s">
        <v>333</v>
      </c>
      <c r="F126" s="46"/>
      <c r="G126" s="46"/>
    </row>
    <row r="128" spans="1:9">
      <c r="A128" s="3" t="s">
        <v>334</v>
      </c>
      <c r="B128" s="45" t="s">
        <v>270</v>
      </c>
      <c r="C128" s="45"/>
      <c r="E128" s="14"/>
      <c r="G128" s="14"/>
      <c r="I128" s="28">
        <v>0</v>
      </c>
    </row>
    <row r="130" spans="2:7">
      <c r="B130" s="21" t="s">
        <v>60</v>
      </c>
      <c r="C130" s="21"/>
    </row>
    <row r="131" spans="2:7">
      <c r="B131" s="57" t="s">
        <v>307</v>
      </c>
      <c r="C131" s="57"/>
      <c r="D131" s="57"/>
      <c r="E131" s="57"/>
      <c r="F131" s="57"/>
      <c r="G131" s="57"/>
    </row>
    <row r="132" spans="2:7">
      <c r="B132" s="7"/>
      <c r="C132" s="7"/>
    </row>
    <row r="133" spans="2:7">
      <c r="G133" s="6" t="s">
        <v>150</v>
      </c>
    </row>
  </sheetData>
  <sheetProtection algorithmName="SHA-1" hashValue="iC0nGqoq2C3eghkr5vVUjVyPX+o=" saltValue="wPxLHh2xzhdR0lt8xLWNHg==" spinCount="100000" sheet="1" objects="1" scenarios="1"/>
  <mergeCells count="53">
    <mergeCell ref="B25:C25"/>
    <mergeCell ref="B30:C30"/>
    <mergeCell ref="B131:G131"/>
    <mergeCell ref="B101:G101"/>
    <mergeCell ref="B107:G107"/>
    <mergeCell ref="B117:G117"/>
    <mergeCell ref="B104:C104"/>
    <mergeCell ref="B91:G91"/>
    <mergeCell ref="B96:G96"/>
    <mergeCell ref="B93:C93"/>
    <mergeCell ref="B98:C98"/>
    <mergeCell ref="B65:G65"/>
    <mergeCell ref="B70:G70"/>
    <mergeCell ref="B75:G75"/>
    <mergeCell ref="B67:C67"/>
    <mergeCell ref="B72:C72"/>
    <mergeCell ref="B38:D38"/>
    <mergeCell ref="E44:G44"/>
    <mergeCell ref="B52:C52"/>
    <mergeCell ref="B33:G33"/>
    <mergeCell ref="B43:G43"/>
    <mergeCell ref="B17:C17"/>
    <mergeCell ref="B35:C35"/>
    <mergeCell ref="B40:C40"/>
    <mergeCell ref="B2:C2"/>
    <mergeCell ref="B55:D55"/>
    <mergeCell ref="B6:G6"/>
    <mergeCell ref="B15:G15"/>
    <mergeCell ref="B20:G20"/>
    <mergeCell ref="B8:C8"/>
    <mergeCell ref="B12:C12"/>
    <mergeCell ref="B46:C46"/>
    <mergeCell ref="E55:G55"/>
    <mergeCell ref="B22:G22"/>
    <mergeCell ref="B49:G49"/>
    <mergeCell ref="E28:I28"/>
    <mergeCell ref="E38:G38"/>
    <mergeCell ref="B57:C57"/>
    <mergeCell ref="B60:D60"/>
    <mergeCell ref="E60:G60"/>
    <mergeCell ref="B62:C62"/>
    <mergeCell ref="B128:C128"/>
    <mergeCell ref="B109:C109"/>
    <mergeCell ref="B112:D112"/>
    <mergeCell ref="E112:G112"/>
    <mergeCell ref="B114:C114"/>
    <mergeCell ref="B126:D126"/>
    <mergeCell ref="E126:G126"/>
    <mergeCell ref="B77:C77"/>
    <mergeCell ref="B88:C88"/>
    <mergeCell ref="B83:C83"/>
    <mergeCell ref="B80:G80"/>
    <mergeCell ref="B86:G86"/>
  </mergeCells>
  <dataValidations count="26">
    <dataValidation type="list" allowBlank="1" showInputMessage="1" showErrorMessage="1" sqref="E12" xr:uid="{8595CD61-2248-4031-ABED-F688A0FB7A56}">
      <formula1>R.L_EXTR.0</formula1>
    </dataValidation>
    <dataValidation type="list" allowBlank="1" showInputMessage="1" showErrorMessage="1" sqref="E17" xr:uid="{19BDE457-D4F0-4BC1-B370-C03C831E66D9}">
      <formula1>R.L_EXTR.1</formula1>
    </dataValidation>
    <dataValidation type="list" allowBlank="1" showInputMessage="1" showErrorMessage="1" sqref="E25" xr:uid="{4D01AA01-B04D-4F32-8E8E-EB0A27268BCA}">
      <formula1>R.L_TRAN.0</formula1>
    </dataValidation>
    <dataValidation type="list" allowBlank="1" showInputMessage="1" showErrorMessage="1" sqref="E30" xr:uid="{00C1F1B0-CF74-4E32-8BDA-C8288716DEC0}">
      <formula1>R.L_TRAN.1</formula1>
    </dataValidation>
    <dataValidation type="list" allowBlank="1" showInputMessage="1" showErrorMessage="1" sqref="E35" xr:uid="{2E2F6B30-CF3E-4888-AB85-86D5705470D1}">
      <formula1>R.L_TRAN.2</formula1>
    </dataValidation>
    <dataValidation type="list" allowBlank="1" showInputMessage="1" showErrorMessage="1" sqref="E40" xr:uid="{297905E5-BFFB-41F3-AA1D-E6276AF0173A}">
      <formula1>R.L_TRAN.3</formula1>
    </dataValidation>
    <dataValidation type="list" allowBlank="1" showInputMessage="1" showErrorMessage="1" sqref="E46" xr:uid="{691762D9-C8FC-4857-A058-F56FF9658512}">
      <formula1>R.L_TRAN.4</formula1>
    </dataValidation>
    <dataValidation type="list" allowBlank="1" showInputMessage="1" showErrorMessage="1" sqref="E52" xr:uid="{B4E43275-B725-42FD-BA39-51764DF11546}">
      <formula1>R.L_STOR.0</formula1>
    </dataValidation>
    <dataValidation type="list" allowBlank="1" showInputMessage="1" showErrorMessage="1" sqref="E57" xr:uid="{820CDD07-E9B3-4A3E-856D-DC4C91290249}">
      <formula1>R.L_STOR.1</formula1>
    </dataValidation>
    <dataValidation type="list" allowBlank="1" showInputMessage="1" showErrorMessage="1" sqref="E62" xr:uid="{6CDD458C-2E09-435C-8513-90FC315F4793}">
      <formula1>R.L_STOR.2</formula1>
    </dataValidation>
    <dataValidation type="list" allowBlank="1" showInputMessage="1" showErrorMessage="1" sqref="E67" xr:uid="{4EB06DF0-F2EE-4940-9D28-E3E30A5EBAB4}">
      <formula1>R.L_STOR.3</formula1>
    </dataValidation>
    <dataValidation type="list" allowBlank="1" showInputMessage="1" showErrorMessage="1" sqref="E72" xr:uid="{22388B8D-8FF4-45B2-8FA4-1FF55F452352}">
      <formula1>R.L_STOR.4</formula1>
    </dataValidation>
    <dataValidation type="list" allowBlank="1" showInputMessage="1" showErrorMessage="1" sqref="E77" xr:uid="{E90EF1B6-3AC4-4F32-A8C2-B7BE333A6727}">
      <formula1>R.L_STOR.5</formula1>
    </dataValidation>
    <dataValidation type="list" allowBlank="1" showInputMessage="1" showErrorMessage="1" sqref="E83" xr:uid="{73F4EAD2-D5CD-4897-8180-839CB230F780}">
      <formula1>R.L_RFIN.0</formula1>
    </dataValidation>
    <dataValidation type="list" allowBlank="1" showInputMessage="1" showErrorMessage="1" sqref="E88" xr:uid="{190A8D98-DD26-4CFE-9112-B66F77715F3F}">
      <formula1>R.L_RFIN.1</formula1>
    </dataValidation>
    <dataValidation type="list" allowBlank="1" showInputMessage="1" showErrorMessage="1" sqref="E93" xr:uid="{192F46B1-ADAB-41CF-83B1-782E675AF0CB}">
      <formula1>R.L_RFIN.2</formula1>
    </dataValidation>
    <dataValidation type="list" allowBlank="1" showInputMessage="1" showErrorMessage="1" sqref="E98" xr:uid="{17EC8C40-9DBD-457D-81C4-244351DFD549}">
      <formula1>R.L_RFIN.3</formula1>
    </dataValidation>
    <dataValidation type="list" allowBlank="1" showInputMessage="1" showErrorMessage="1" sqref="E104" xr:uid="{58F5AD9C-1592-4EE7-8A6A-070130229054}">
      <formula1>R.L_WHLS.0</formula1>
    </dataValidation>
    <dataValidation type="list" allowBlank="1" showInputMessage="1" showErrorMessage="1" sqref="E109" xr:uid="{AC41D041-CFCF-4A99-9508-05798E58078C}">
      <formula1>R.L_WHLS.1</formula1>
    </dataValidation>
    <dataValidation type="list" allowBlank="1" showInputMessage="1" showErrorMessage="1" sqref="E114" xr:uid="{C1A19A34-1ED0-4EF7-9D81-7FA57406FEAB}">
      <formula1>R.L_WHLS.2</formula1>
    </dataValidation>
    <dataValidation type="list" allowBlank="1" showInputMessage="1" showErrorMessage="1" sqref="E120" xr:uid="{FB85B73E-4A2D-4EDB-9AFF-B40C9808B3D6}">
      <formula1>R.L_WHLS.3.1</formula1>
    </dataValidation>
    <dataValidation type="list" allowBlank="1" showInputMessage="1" showErrorMessage="1" sqref="E128" xr:uid="{77DFC01D-7B83-4D10-912F-DACD2430B0C8}">
      <formula1>R.L_WHLS.4</formula1>
    </dataValidation>
    <dataValidation type="list" allowBlank="1" showInputMessage="1" showErrorMessage="1" sqref="E119" xr:uid="{8D5F546D-DFAF-435D-9B06-A386170C8F55}">
      <formula1>R.L_WHLS.3</formula1>
    </dataValidation>
    <dataValidation type="list" allowBlank="1" showInputMessage="1" showErrorMessage="1" sqref="E121" xr:uid="{BEB47721-950D-4D66-9501-4D98F108784E}">
      <formula1>R.L_WHLS.3.2</formula1>
    </dataValidation>
    <dataValidation type="list" allowBlank="1" showInputMessage="1" showErrorMessage="1" sqref="E122" xr:uid="{ADFCF4DE-E7EC-41F9-9A97-9C30615FD01E}">
      <formula1>R.L_WHLS.3.3</formula1>
    </dataValidation>
    <dataValidation type="list" allowBlank="1" showInputMessage="1" showErrorMessage="1" sqref="E123" xr:uid="{DA684C2A-9723-4558-872C-A79914A961CB}">
      <formula1>R.L_WHLS.3.4</formula1>
    </dataValidation>
  </dataValidations>
  <hyperlinks>
    <hyperlink ref="A1" location="Home!G14" tooltip="Click here to return Home" display="Home" xr:uid="{7EBF4ED3-F68E-4AAE-89CA-8A91C4FF7D37}"/>
    <hyperlink ref="G133" location="'L-CAT'!A11" tooltip="Go to Top" display="Go to Top" xr:uid="{F6EC8117-E900-4F7E-A14B-E3FC807EA9A3}"/>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F68BD-7227-9D4B-908B-95AF12D1CC4B}">
  <sheetPr codeName="Sheet2">
    <tabColor theme="3" tint="0.79998168889431442"/>
    <outlinePr summaryBelow="0"/>
  </sheetPr>
  <dimension ref="A1:J102"/>
  <sheetViews>
    <sheetView zoomScale="120" zoomScaleNormal="120" workbookViewId="0">
      <pane ySplit="6" topLeftCell="A7" activePane="bottomLeft" state="frozen"/>
      <selection pane="bottomLeft" activeCell="A7" sqref="A7"/>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20.25" thickBot="1">
      <c r="B2" s="4" t="s">
        <v>15</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339</v>
      </c>
      <c r="B7" s="8" t="s">
        <v>340</v>
      </c>
      <c r="C7" s="8"/>
      <c r="D7" s="8"/>
      <c r="E7" s="8"/>
      <c r="F7" s="8"/>
      <c r="G7" s="8"/>
      <c r="H7" s="8"/>
      <c r="I7" s="8"/>
      <c r="J7" s="8"/>
    </row>
    <row r="8" spans="1:10">
      <c r="A8" s="3" t="s">
        <v>341</v>
      </c>
      <c r="B8" t="s">
        <v>342</v>
      </c>
      <c r="D8" s="14"/>
      <c r="F8" s="14"/>
      <c r="H8" s="3">
        <v>2</v>
      </c>
      <c r="J8" s="3">
        <v>1</v>
      </c>
    </row>
    <row r="10" spans="1:10">
      <c r="B10" s="21" t="s">
        <v>60</v>
      </c>
    </row>
    <row r="11" spans="1:10" ht="105" customHeight="1">
      <c r="B11" s="57" t="s">
        <v>343</v>
      </c>
      <c r="C11" s="57"/>
      <c r="D11" s="57"/>
      <c r="E11" s="57"/>
      <c r="F11" s="57"/>
    </row>
    <row r="13" spans="1:10" ht="25.5">
      <c r="A13" s="3" t="s">
        <v>344</v>
      </c>
      <c r="B13" t="s">
        <v>345</v>
      </c>
      <c r="D13" s="14"/>
      <c r="F13" s="14"/>
      <c r="H13" s="3">
        <v>2</v>
      </c>
      <c r="J13" s="3">
        <v>2</v>
      </c>
    </row>
    <row r="15" spans="1:10">
      <c r="B15" s="21" t="s">
        <v>60</v>
      </c>
    </row>
    <row r="16" spans="1:10" ht="30" customHeight="1">
      <c r="B16" s="57" t="s">
        <v>346</v>
      </c>
      <c r="C16" s="57"/>
      <c r="D16" s="57"/>
      <c r="E16" s="57"/>
      <c r="F16" s="57"/>
    </row>
    <row r="18" spans="1:10" ht="38.25">
      <c r="A18" s="3" t="s">
        <v>347</v>
      </c>
      <c r="B18" t="s">
        <v>348</v>
      </c>
      <c r="D18" s="14"/>
      <c r="F18" s="14"/>
      <c r="H18" s="3">
        <v>3</v>
      </c>
      <c r="J18" s="3">
        <v>3</v>
      </c>
    </row>
    <row r="20" spans="1:10">
      <c r="B20" s="21" t="s">
        <v>60</v>
      </c>
    </row>
    <row r="21" spans="1:10" ht="130.15" customHeight="1">
      <c r="B21" s="57" t="s">
        <v>349</v>
      </c>
      <c r="C21" s="57"/>
      <c r="D21" s="57"/>
      <c r="E21" s="57"/>
      <c r="F21" s="57"/>
    </row>
    <row r="23" spans="1:10" ht="25.5">
      <c r="A23" s="3" t="s">
        <v>350</v>
      </c>
      <c r="B23" t="s">
        <v>351</v>
      </c>
      <c r="D23" s="14"/>
      <c r="F23" s="14"/>
      <c r="H23" s="3">
        <v>3</v>
      </c>
      <c r="J23" s="3">
        <v>3</v>
      </c>
    </row>
    <row r="25" spans="1:10">
      <c r="B25" s="21" t="s">
        <v>60</v>
      </c>
    </row>
    <row r="26" spans="1:10" ht="30" customHeight="1">
      <c r="B26" s="57" t="s">
        <v>352</v>
      </c>
      <c r="C26" s="57"/>
      <c r="D26" s="57"/>
      <c r="E26" s="57"/>
      <c r="F26" s="57"/>
    </row>
    <row r="28" spans="1:10" ht="25.5">
      <c r="A28" s="3" t="s">
        <v>353</v>
      </c>
      <c r="B28" t="s">
        <v>354</v>
      </c>
      <c r="D28" s="14"/>
      <c r="F28" s="14"/>
      <c r="H28" s="3">
        <v>3</v>
      </c>
      <c r="J28" s="3">
        <v>3</v>
      </c>
    </row>
    <row r="30" spans="1:10">
      <c r="B30" s="21" t="s">
        <v>60</v>
      </c>
    </row>
    <row r="31" spans="1:10" ht="145.15" customHeight="1">
      <c r="B31" s="57" t="s">
        <v>355</v>
      </c>
      <c r="C31" s="57"/>
      <c r="D31" s="57"/>
      <c r="E31" s="57"/>
      <c r="F31" s="57"/>
    </row>
    <row r="32" spans="1:10">
      <c r="A32" s="9" t="s">
        <v>356</v>
      </c>
      <c r="B32" s="8" t="s">
        <v>357</v>
      </c>
      <c r="C32" s="8"/>
      <c r="D32" s="8"/>
      <c r="E32" s="8"/>
      <c r="F32" s="8"/>
      <c r="G32" s="8"/>
      <c r="H32" s="8"/>
      <c r="I32" s="8"/>
      <c r="J32" s="8"/>
    </row>
    <row r="33" spans="1:10">
      <c r="A33" s="3" t="s">
        <v>358</v>
      </c>
      <c r="B33" t="s">
        <v>359</v>
      </c>
      <c r="D33" s="14"/>
      <c r="F33" s="14"/>
      <c r="H33" s="3">
        <v>1</v>
      </c>
      <c r="J33" s="3">
        <v>1</v>
      </c>
    </row>
    <row r="35" spans="1:10">
      <c r="B35" s="21" t="s">
        <v>60</v>
      </c>
    </row>
    <row r="36" spans="1:10" ht="105" customHeight="1">
      <c r="B36" s="57" t="s">
        <v>360</v>
      </c>
      <c r="C36" s="57"/>
      <c r="D36" s="57"/>
      <c r="E36" s="57"/>
      <c r="F36" s="57"/>
    </row>
    <row r="38" spans="1:10" ht="25.5">
      <c r="A38" s="3" t="s">
        <v>361</v>
      </c>
      <c r="B38" t="s">
        <v>362</v>
      </c>
      <c r="D38" s="14"/>
      <c r="F38" s="14"/>
      <c r="H38" s="3">
        <v>1</v>
      </c>
      <c r="J38" s="3">
        <v>1</v>
      </c>
    </row>
    <row r="40" spans="1:10">
      <c r="B40" s="21" t="s">
        <v>60</v>
      </c>
    </row>
    <row r="41" spans="1:10" ht="15" customHeight="1">
      <c r="B41" s="57" t="s">
        <v>363</v>
      </c>
      <c r="C41" s="57"/>
      <c r="D41" s="57"/>
      <c r="E41" s="57"/>
      <c r="F41" s="57"/>
    </row>
    <row r="43" spans="1:10" ht="25.5">
      <c r="A43" s="3" t="s">
        <v>364</v>
      </c>
      <c r="B43" t="s">
        <v>365</v>
      </c>
      <c r="D43" s="14"/>
      <c r="F43" s="14"/>
      <c r="H43" s="3">
        <v>2</v>
      </c>
      <c r="J43" s="3">
        <v>1</v>
      </c>
    </row>
    <row r="45" spans="1:10">
      <c r="B45" s="21" t="s">
        <v>60</v>
      </c>
    </row>
    <row r="46" spans="1:10" ht="45" customHeight="1">
      <c r="B46" s="57" t="s">
        <v>366</v>
      </c>
      <c r="C46" s="57"/>
      <c r="D46" s="57"/>
      <c r="E46" s="57"/>
      <c r="F46" s="57"/>
    </row>
    <row r="48" spans="1:10">
      <c r="A48" s="3" t="s">
        <v>367</v>
      </c>
      <c r="B48" t="s">
        <v>368</v>
      </c>
      <c r="D48" s="14"/>
      <c r="F48" s="14"/>
      <c r="H48" s="3">
        <v>2</v>
      </c>
      <c r="J48" s="3">
        <v>1</v>
      </c>
    </row>
    <row r="50" spans="1:10">
      <c r="B50" s="21" t="s">
        <v>60</v>
      </c>
    </row>
    <row r="51" spans="1:10" ht="15" customHeight="1">
      <c r="B51" s="57" t="s">
        <v>369</v>
      </c>
      <c r="C51" s="57"/>
      <c r="D51" s="57"/>
      <c r="E51" s="57"/>
      <c r="F51" s="57"/>
    </row>
    <row r="53" spans="1:10" ht="25.5">
      <c r="A53" s="3" t="s">
        <v>370</v>
      </c>
      <c r="B53" t="s">
        <v>371</v>
      </c>
      <c r="D53" s="14"/>
      <c r="F53" s="14"/>
      <c r="H53" s="3">
        <v>2</v>
      </c>
      <c r="J53" s="3">
        <v>2</v>
      </c>
    </row>
    <row r="55" spans="1:10">
      <c r="B55" s="21" t="s">
        <v>60</v>
      </c>
    </row>
    <row r="56" spans="1:10" ht="30" customHeight="1">
      <c r="B56" s="57" t="s">
        <v>372</v>
      </c>
      <c r="C56" s="57"/>
      <c r="D56" s="57"/>
      <c r="E56" s="57"/>
      <c r="F56" s="57"/>
    </row>
    <row r="58" spans="1:10" ht="25.5">
      <c r="A58" s="3" t="s">
        <v>373</v>
      </c>
      <c r="B58" t="s">
        <v>374</v>
      </c>
      <c r="D58" s="14"/>
      <c r="F58" s="14"/>
      <c r="H58" s="3">
        <v>2</v>
      </c>
      <c r="J58" s="3">
        <v>2</v>
      </c>
    </row>
    <row r="60" spans="1:10">
      <c r="B60" s="21" t="s">
        <v>60</v>
      </c>
    </row>
    <row r="61" spans="1:10" ht="75" customHeight="1">
      <c r="B61" s="57" t="s">
        <v>375</v>
      </c>
      <c r="C61" s="57"/>
      <c r="D61" s="57"/>
      <c r="E61" s="57"/>
      <c r="F61" s="57"/>
    </row>
    <row r="63" spans="1:10">
      <c r="A63" s="3" t="s">
        <v>376</v>
      </c>
      <c r="B63" t="s">
        <v>377</v>
      </c>
      <c r="D63" s="14"/>
      <c r="F63" s="14"/>
      <c r="H63" s="3">
        <v>2</v>
      </c>
      <c r="J63" s="3">
        <v>2</v>
      </c>
    </row>
    <row r="65" spans="1:10">
      <c r="B65" s="21" t="s">
        <v>60</v>
      </c>
    </row>
    <row r="66" spans="1:10" ht="90" customHeight="1">
      <c r="B66" s="57" t="s">
        <v>378</v>
      </c>
      <c r="C66" s="57"/>
      <c r="D66" s="57"/>
      <c r="E66" s="57"/>
      <c r="F66" s="57"/>
    </row>
    <row r="68" spans="1:10" ht="25.5">
      <c r="A68" s="3" t="s">
        <v>379</v>
      </c>
      <c r="B68" t="s">
        <v>380</v>
      </c>
      <c r="D68" s="14"/>
      <c r="F68" s="14"/>
      <c r="H68" s="3">
        <v>3</v>
      </c>
      <c r="J68" s="3">
        <v>3</v>
      </c>
    </row>
    <row r="70" spans="1:10">
      <c r="B70" s="21" t="s">
        <v>60</v>
      </c>
    </row>
    <row r="71" spans="1:10" ht="90" customHeight="1">
      <c r="B71" s="57" t="s">
        <v>381</v>
      </c>
      <c r="C71" s="57"/>
      <c r="D71" s="57"/>
      <c r="E71" s="57"/>
      <c r="F71" s="57"/>
    </row>
    <row r="73" spans="1:10">
      <c r="A73" s="3" t="s">
        <v>382</v>
      </c>
      <c r="B73" t="s">
        <v>383</v>
      </c>
      <c r="D73" s="14"/>
      <c r="F73" s="14"/>
      <c r="H73" s="3">
        <v>3</v>
      </c>
      <c r="J73" s="3">
        <v>3</v>
      </c>
    </row>
    <row r="75" spans="1:10">
      <c r="B75" s="21" t="s">
        <v>60</v>
      </c>
    </row>
    <row r="76" spans="1:10" ht="105" customHeight="1">
      <c r="B76" s="57" t="s">
        <v>384</v>
      </c>
      <c r="C76" s="57"/>
      <c r="D76" s="57"/>
      <c r="E76" s="57"/>
      <c r="F76" s="57"/>
    </row>
    <row r="78" spans="1:10" ht="25.5">
      <c r="A78" s="3" t="s">
        <v>385</v>
      </c>
      <c r="B78" t="s">
        <v>386</v>
      </c>
      <c r="D78" s="14"/>
      <c r="F78" s="14"/>
      <c r="H78" s="3">
        <v>3</v>
      </c>
      <c r="J78" s="3">
        <v>3</v>
      </c>
    </row>
    <row r="80" spans="1:10">
      <c r="B80" s="21" t="s">
        <v>60</v>
      </c>
    </row>
    <row r="81" spans="1:10" ht="105" customHeight="1">
      <c r="B81" s="57" t="s">
        <v>387</v>
      </c>
      <c r="C81" s="57"/>
      <c r="D81" s="57"/>
      <c r="E81" s="57"/>
      <c r="F81" s="57"/>
    </row>
    <row r="82" spans="1:10">
      <c r="A82" s="9" t="s">
        <v>388</v>
      </c>
      <c r="B82" s="8" t="s">
        <v>389</v>
      </c>
      <c r="C82" s="8"/>
      <c r="D82" s="8"/>
      <c r="E82" s="8"/>
      <c r="F82" s="8"/>
      <c r="G82" s="8"/>
      <c r="H82" s="8"/>
      <c r="I82" s="8"/>
      <c r="J82" s="8"/>
    </row>
    <row r="83" spans="1:10">
      <c r="A83" s="3" t="s">
        <v>390</v>
      </c>
      <c r="B83" t="s">
        <v>391</v>
      </c>
      <c r="D83" s="14"/>
      <c r="F83" s="14"/>
      <c r="H83" s="3">
        <v>2</v>
      </c>
      <c r="J83" s="3">
        <v>2</v>
      </c>
    </row>
    <row r="85" spans="1:10">
      <c r="B85" s="21" t="s">
        <v>60</v>
      </c>
    </row>
    <row r="86" spans="1:10" ht="90" customHeight="1">
      <c r="B86" s="57" t="s">
        <v>392</v>
      </c>
      <c r="C86" s="57"/>
      <c r="D86" s="57"/>
      <c r="E86" s="57"/>
      <c r="F86" s="57"/>
    </row>
    <row r="88" spans="1:10">
      <c r="A88" s="3" t="s">
        <v>393</v>
      </c>
      <c r="B88" t="s">
        <v>394</v>
      </c>
      <c r="D88" s="14"/>
      <c r="F88" s="14"/>
      <c r="H88" s="3">
        <v>2</v>
      </c>
      <c r="J88" s="3">
        <v>2</v>
      </c>
    </row>
    <row r="90" spans="1:10">
      <c r="B90" s="21" t="s">
        <v>60</v>
      </c>
    </row>
    <row r="91" spans="1:10" ht="60" customHeight="1">
      <c r="B91" s="57" t="s">
        <v>395</v>
      </c>
      <c r="C91" s="57"/>
      <c r="D91" s="57"/>
      <c r="E91" s="57"/>
      <c r="F91" s="57"/>
    </row>
    <row r="93" spans="1:10" ht="25.5">
      <c r="A93" s="3" t="s">
        <v>396</v>
      </c>
      <c r="B93" t="s">
        <v>397</v>
      </c>
      <c r="D93" s="14"/>
      <c r="F93" s="14"/>
      <c r="H93" s="3">
        <v>2</v>
      </c>
      <c r="J93" s="3">
        <v>2</v>
      </c>
    </row>
    <row r="95" spans="1:10">
      <c r="B95" s="21" t="s">
        <v>60</v>
      </c>
    </row>
    <row r="96" spans="1:10" ht="60" customHeight="1">
      <c r="B96" s="57" t="s">
        <v>398</v>
      </c>
      <c r="C96" s="57"/>
      <c r="D96" s="57"/>
      <c r="E96" s="57"/>
      <c r="F96" s="57"/>
    </row>
    <row r="98" spans="1:10" ht="25.5">
      <c r="A98" s="3" t="s">
        <v>399</v>
      </c>
      <c r="B98" t="s">
        <v>400</v>
      </c>
      <c r="D98" s="14"/>
      <c r="F98" s="14"/>
      <c r="H98" s="3">
        <v>3</v>
      </c>
      <c r="J98" s="3">
        <v>3</v>
      </c>
    </row>
    <row r="100" spans="1:10">
      <c r="B100" s="21" t="s">
        <v>60</v>
      </c>
    </row>
    <row r="101" spans="1:10" ht="90" customHeight="1">
      <c r="B101" s="57" t="s">
        <v>401</v>
      </c>
      <c r="C101" s="57"/>
      <c r="D101" s="57"/>
      <c r="E101" s="57"/>
      <c r="F101" s="57"/>
    </row>
    <row r="102" spans="1:10">
      <c r="F102" s="10" t="s">
        <v>150</v>
      </c>
    </row>
  </sheetData>
  <sheetProtection algorithmName="SHA-1" hashValue="f9uQgT6/haxEm4o9bdhxwJmfTwI=" saltValue="DCz83rKShZ7VF7Wws41Qkw==" spinCount="100000" sheet="1" objects="1" scenarios="1"/>
  <mergeCells count="19">
    <mergeCell ref="B81:F81"/>
    <mergeCell ref="B86:F86"/>
    <mergeCell ref="B91:F91"/>
    <mergeCell ref="B96:F96"/>
    <mergeCell ref="B101:F101"/>
    <mergeCell ref="B61:F61"/>
    <mergeCell ref="B66:F66"/>
    <mergeCell ref="B71:F71"/>
    <mergeCell ref="B76:F76"/>
    <mergeCell ref="B36:F36"/>
    <mergeCell ref="B41:F41"/>
    <mergeCell ref="B46:F46"/>
    <mergeCell ref="B51:F51"/>
    <mergeCell ref="B56:F56"/>
    <mergeCell ref="B11:F11"/>
    <mergeCell ref="B16:F16"/>
    <mergeCell ref="B21:F21"/>
    <mergeCell ref="B26:F26"/>
    <mergeCell ref="B31:F31"/>
  </mergeCells>
  <dataValidations count="3">
    <dataValidation type="list" allowBlank="1" showInputMessage="1" showErrorMessage="1" sqref="D8 D13 D18 D23 D28 D43 D48 D53 D58 D63 D68 D73 D78" xr:uid="{64F61F8E-1D60-CE42-BEA0-60245AA41536}">
      <formula1>Response_MIL23</formula1>
    </dataValidation>
    <dataValidation type="list" allowBlank="1" showInputMessage="1" showErrorMessage="1" sqref="D83 D88 D93 D98" xr:uid="{5EA4CD55-B421-3E41-913C-E41612E9281A}">
      <formula1>AntiPattern</formula1>
    </dataValidation>
    <dataValidation type="list" allowBlank="1" showInputMessage="1" showErrorMessage="1" sqref="D33 D38" xr:uid="{61B06679-353A-8E40-9DAD-901582659E6A}">
      <formula1>Response_MIL1</formula1>
    </dataValidation>
  </dataValidations>
  <hyperlinks>
    <hyperlink ref="A1" location="Home!G14" tooltip="Click here to return Home" display="Home" xr:uid="{C571BE5C-6AD5-954C-8E44-0619063BE7B5}"/>
    <hyperlink ref="F102" location="RM!D12" tooltip="Go to Top" display="Go to Top" xr:uid="{72E56D45-B8EF-FB42-AAC5-E21D04377012}"/>
  </hyperlink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F08CA-85DA-6948-B353-CFAB0FC6CC60}">
  <sheetPr codeName="Sheet3">
    <tabColor theme="3" tint="0.79998168889431442"/>
    <outlinePr summaryBelow="0"/>
  </sheetPr>
  <dimension ref="A1:J147"/>
  <sheetViews>
    <sheetView zoomScale="120" zoomScaleNormal="120" workbookViewId="0">
      <pane ySplit="6" topLeftCell="A136" activePane="bottomLeft" state="frozen"/>
      <selection pane="bottomLeft" activeCell="D138" sqref="D138"/>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20.25" thickBot="1">
      <c r="B2" s="4" t="s">
        <v>17</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402</v>
      </c>
      <c r="B7" s="8" t="s">
        <v>403</v>
      </c>
      <c r="C7" s="8"/>
      <c r="D7" s="8"/>
      <c r="E7" s="8"/>
      <c r="F7" s="8"/>
      <c r="G7" s="8"/>
      <c r="H7" s="8"/>
      <c r="I7" s="8"/>
      <c r="J7" s="8"/>
    </row>
    <row r="8" spans="1:10" ht="25.5">
      <c r="A8" s="3" t="s">
        <v>404</v>
      </c>
      <c r="B8" t="s">
        <v>405</v>
      </c>
      <c r="D8" s="14" t="s">
        <v>406</v>
      </c>
      <c r="F8" s="14"/>
      <c r="H8" s="3">
        <v>1</v>
      </c>
      <c r="J8" s="3">
        <v>1</v>
      </c>
    </row>
    <row r="10" spans="1:10">
      <c r="B10" s="21" t="s">
        <v>60</v>
      </c>
    </row>
    <row r="11" spans="1:10" ht="30" customHeight="1">
      <c r="B11" s="57" t="s">
        <v>407</v>
      </c>
      <c r="C11" s="57"/>
      <c r="D11" s="57"/>
      <c r="E11" s="57"/>
      <c r="F11" s="57"/>
    </row>
    <row r="13" spans="1:10" ht="25.5">
      <c r="A13" s="3" t="s">
        <v>408</v>
      </c>
      <c r="B13" t="s">
        <v>409</v>
      </c>
      <c r="D13" s="14" t="s">
        <v>410</v>
      </c>
      <c r="F13" s="14"/>
      <c r="H13" s="3">
        <v>2</v>
      </c>
      <c r="J13" s="3">
        <v>2</v>
      </c>
    </row>
    <row r="15" spans="1:10">
      <c r="B15" s="21" t="s">
        <v>60</v>
      </c>
    </row>
    <row r="16" spans="1:10" ht="45" customHeight="1">
      <c r="B16" s="57" t="s">
        <v>411</v>
      </c>
      <c r="C16" s="57"/>
      <c r="D16" s="57"/>
      <c r="E16" s="57"/>
      <c r="F16" s="57"/>
    </row>
    <row r="18" spans="1:10" ht="25.5">
      <c r="A18" s="3" t="s">
        <v>412</v>
      </c>
      <c r="B18" t="s">
        <v>413</v>
      </c>
      <c r="D18" s="14" t="s">
        <v>410</v>
      </c>
      <c r="F18" s="14"/>
      <c r="H18" s="3">
        <v>2</v>
      </c>
      <c r="J18" s="3">
        <v>2</v>
      </c>
    </row>
    <row r="20" spans="1:10">
      <c r="B20" s="21" t="s">
        <v>60</v>
      </c>
    </row>
    <row r="21" spans="1:10" ht="105" customHeight="1">
      <c r="B21" s="57" t="s">
        <v>414</v>
      </c>
      <c r="C21" s="57"/>
      <c r="D21" s="57"/>
      <c r="E21" s="57"/>
      <c r="F21" s="57"/>
    </row>
    <row r="23" spans="1:10" ht="25.5">
      <c r="A23" s="3" t="s">
        <v>415</v>
      </c>
      <c r="B23" t="s">
        <v>416</v>
      </c>
      <c r="D23" s="14" t="s">
        <v>410</v>
      </c>
      <c r="F23" s="14"/>
      <c r="H23" s="3">
        <v>2</v>
      </c>
      <c r="J23" s="3">
        <v>2</v>
      </c>
    </row>
    <row r="25" spans="1:10">
      <c r="B25" s="21" t="s">
        <v>60</v>
      </c>
    </row>
    <row r="26" spans="1:10" ht="90" customHeight="1">
      <c r="B26" s="57" t="s">
        <v>417</v>
      </c>
      <c r="C26" s="57"/>
      <c r="D26" s="57"/>
      <c r="E26" s="57"/>
      <c r="F26" s="57"/>
    </row>
    <row r="28" spans="1:10" ht="25.5">
      <c r="A28" s="3" t="s">
        <v>418</v>
      </c>
      <c r="B28" t="s">
        <v>419</v>
      </c>
      <c r="D28" s="14" t="s">
        <v>410</v>
      </c>
      <c r="F28" s="14"/>
      <c r="H28" s="3">
        <v>2</v>
      </c>
      <c r="J28" s="3">
        <v>2</v>
      </c>
    </row>
    <row r="30" spans="1:10">
      <c r="B30" s="21" t="s">
        <v>60</v>
      </c>
    </row>
    <row r="31" spans="1:10" ht="90" customHeight="1">
      <c r="B31" s="57" t="s">
        <v>420</v>
      </c>
      <c r="C31" s="57"/>
      <c r="D31" s="57"/>
      <c r="E31" s="57"/>
      <c r="F31" s="57"/>
    </row>
    <row r="33" spans="1:10">
      <c r="A33" s="3" t="s">
        <v>421</v>
      </c>
      <c r="B33" t="s">
        <v>422</v>
      </c>
      <c r="D33" s="14" t="s">
        <v>410</v>
      </c>
      <c r="F33" s="14"/>
      <c r="H33" s="3">
        <v>2</v>
      </c>
      <c r="J33" s="3">
        <v>2</v>
      </c>
    </row>
    <row r="35" spans="1:10">
      <c r="B35" s="21" t="s">
        <v>60</v>
      </c>
    </row>
    <row r="36" spans="1:10" ht="60" customHeight="1">
      <c r="B36" s="57" t="s">
        <v>423</v>
      </c>
      <c r="C36" s="57"/>
      <c r="D36" s="57"/>
      <c r="E36" s="57"/>
      <c r="F36" s="57"/>
    </row>
    <row r="38" spans="1:10" ht="25.5">
      <c r="A38" s="3" t="s">
        <v>424</v>
      </c>
      <c r="B38" t="s">
        <v>425</v>
      </c>
      <c r="D38" s="14" t="s">
        <v>410</v>
      </c>
      <c r="F38" s="14"/>
      <c r="H38" s="3">
        <v>3</v>
      </c>
      <c r="J38" s="3">
        <v>3</v>
      </c>
    </row>
    <row r="40" spans="1:10">
      <c r="B40" s="21" t="s">
        <v>60</v>
      </c>
    </row>
    <row r="41" spans="1:10" ht="105" customHeight="1">
      <c r="B41" s="57" t="s">
        <v>426</v>
      </c>
      <c r="C41" s="57"/>
      <c r="D41" s="57"/>
      <c r="E41" s="57"/>
      <c r="F41" s="57"/>
    </row>
    <row r="42" spans="1:10">
      <c r="A42" s="9" t="s">
        <v>427</v>
      </c>
      <c r="B42" s="8" t="s">
        <v>428</v>
      </c>
      <c r="C42" s="8"/>
      <c r="D42" s="8"/>
      <c r="E42" s="8"/>
      <c r="F42" s="8"/>
      <c r="G42" s="8"/>
      <c r="H42" s="8"/>
      <c r="I42" s="8"/>
      <c r="J42" s="8"/>
    </row>
    <row r="43" spans="1:10" ht="25.5">
      <c r="A43" s="3" t="s">
        <v>429</v>
      </c>
      <c r="B43" t="s">
        <v>430</v>
      </c>
      <c r="D43" s="14" t="s">
        <v>406</v>
      </c>
      <c r="F43" s="14"/>
      <c r="H43" s="3">
        <v>1</v>
      </c>
      <c r="J43" s="3">
        <v>1</v>
      </c>
    </row>
    <row r="45" spans="1:10">
      <c r="B45" s="21" t="s">
        <v>60</v>
      </c>
    </row>
    <row r="46" spans="1:10" ht="15" customHeight="1">
      <c r="B46" s="57" t="s">
        <v>431</v>
      </c>
      <c r="C46" s="57"/>
      <c r="D46" s="57"/>
      <c r="E46" s="57"/>
      <c r="F46" s="57"/>
    </row>
    <row r="48" spans="1:10" ht="25.5">
      <c r="A48" s="3" t="s">
        <v>432</v>
      </c>
      <c r="B48" t="s">
        <v>433</v>
      </c>
      <c r="D48" s="14" t="s">
        <v>406</v>
      </c>
      <c r="F48" s="14"/>
      <c r="H48" s="3">
        <v>1</v>
      </c>
      <c r="J48" s="3">
        <v>1</v>
      </c>
    </row>
    <row r="50" spans="1:10">
      <c r="B50" s="21" t="s">
        <v>60</v>
      </c>
    </row>
    <row r="51" spans="1:10" ht="15" customHeight="1">
      <c r="B51" s="57" t="s">
        <v>434</v>
      </c>
      <c r="C51" s="57"/>
      <c r="D51" s="57"/>
      <c r="E51" s="57"/>
      <c r="F51" s="57"/>
    </row>
    <row r="53" spans="1:10" ht="25.5">
      <c r="A53" s="3" t="s">
        <v>435</v>
      </c>
      <c r="B53" t="s">
        <v>436</v>
      </c>
      <c r="D53" s="14" t="s">
        <v>410</v>
      </c>
      <c r="F53" s="14"/>
      <c r="H53" s="3">
        <v>2</v>
      </c>
      <c r="J53" s="3">
        <v>2</v>
      </c>
    </row>
    <row r="55" spans="1:10">
      <c r="B55" s="21" t="s">
        <v>60</v>
      </c>
    </row>
    <row r="56" spans="1:10" ht="75" customHeight="1">
      <c r="B56" s="57" t="s">
        <v>437</v>
      </c>
      <c r="C56" s="57"/>
      <c r="D56" s="57"/>
      <c r="E56" s="57"/>
      <c r="F56" s="57"/>
    </row>
    <row r="58" spans="1:10" ht="25.5">
      <c r="A58" s="3" t="s">
        <v>438</v>
      </c>
      <c r="B58" t="s">
        <v>439</v>
      </c>
      <c r="D58" s="14" t="s">
        <v>410</v>
      </c>
      <c r="F58" s="14"/>
      <c r="H58" s="3">
        <v>2</v>
      </c>
      <c r="J58" s="3">
        <v>2</v>
      </c>
    </row>
    <row r="60" spans="1:10">
      <c r="B60" s="21" t="s">
        <v>60</v>
      </c>
    </row>
    <row r="61" spans="1:10" ht="30" customHeight="1">
      <c r="B61" s="57" t="s">
        <v>440</v>
      </c>
      <c r="C61" s="57"/>
      <c r="D61" s="57"/>
      <c r="E61" s="57"/>
      <c r="F61" s="57"/>
    </row>
    <row r="63" spans="1:10" ht="38.25">
      <c r="A63" s="3" t="s">
        <v>441</v>
      </c>
      <c r="B63" t="s">
        <v>442</v>
      </c>
      <c r="D63" s="14" t="s">
        <v>410</v>
      </c>
      <c r="F63" s="14"/>
      <c r="H63" s="3">
        <v>2</v>
      </c>
      <c r="J63" s="3">
        <v>2</v>
      </c>
    </row>
    <row r="65" spans="1:10">
      <c r="B65" s="21" t="s">
        <v>60</v>
      </c>
    </row>
    <row r="66" spans="1:10" ht="90" customHeight="1">
      <c r="B66" s="57" t="s">
        <v>443</v>
      </c>
      <c r="C66" s="57"/>
      <c r="D66" s="57"/>
      <c r="E66" s="57"/>
      <c r="F66" s="57"/>
    </row>
    <row r="68" spans="1:10" ht="25.5">
      <c r="A68" s="3" t="s">
        <v>444</v>
      </c>
      <c r="B68" t="s">
        <v>445</v>
      </c>
      <c r="D68" s="14" t="s">
        <v>410</v>
      </c>
      <c r="F68" s="14"/>
      <c r="H68" s="3">
        <v>2</v>
      </c>
      <c r="J68" s="3">
        <v>2</v>
      </c>
    </row>
    <row r="70" spans="1:10">
      <c r="B70" s="21" t="s">
        <v>60</v>
      </c>
    </row>
    <row r="71" spans="1:10" ht="105" customHeight="1">
      <c r="B71" s="57" t="s">
        <v>446</v>
      </c>
      <c r="C71" s="57"/>
      <c r="D71" s="57"/>
      <c r="E71" s="57"/>
      <c r="F71" s="57"/>
    </row>
    <row r="73" spans="1:10">
      <c r="A73" s="3" t="s">
        <v>447</v>
      </c>
      <c r="B73" t="s">
        <v>448</v>
      </c>
      <c r="D73" s="14" t="s">
        <v>410</v>
      </c>
      <c r="F73" s="14"/>
      <c r="H73" s="3">
        <v>2</v>
      </c>
      <c r="J73" s="3">
        <v>2</v>
      </c>
    </row>
    <row r="75" spans="1:10">
      <c r="B75" s="21" t="s">
        <v>60</v>
      </c>
    </row>
    <row r="76" spans="1:10" ht="75" customHeight="1">
      <c r="B76" s="57" t="s">
        <v>449</v>
      </c>
      <c r="C76" s="57"/>
      <c r="D76" s="57"/>
      <c r="E76" s="57"/>
      <c r="F76" s="57"/>
    </row>
    <row r="78" spans="1:10" ht="25.5">
      <c r="A78" s="3" t="s">
        <v>450</v>
      </c>
      <c r="B78" t="s">
        <v>451</v>
      </c>
      <c r="D78" s="14" t="s">
        <v>410</v>
      </c>
      <c r="F78" s="14"/>
      <c r="H78" s="3">
        <v>2</v>
      </c>
      <c r="J78" s="3">
        <v>2</v>
      </c>
    </row>
    <row r="80" spans="1:10">
      <c r="B80" s="21" t="s">
        <v>60</v>
      </c>
    </row>
    <row r="81" spans="1:10" ht="130.15" customHeight="1">
      <c r="B81" s="57" t="s">
        <v>452</v>
      </c>
      <c r="C81" s="57"/>
      <c r="D81" s="57"/>
      <c r="E81" s="57"/>
      <c r="F81" s="57"/>
    </row>
    <row r="83" spans="1:10" ht="25.5">
      <c r="A83" s="3" t="s">
        <v>453</v>
      </c>
      <c r="B83" t="s">
        <v>454</v>
      </c>
      <c r="D83" s="14" t="s">
        <v>410</v>
      </c>
      <c r="F83" s="14"/>
      <c r="H83" s="3">
        <v>3</v>
      </c>
      <c r="J83" s="3">
        <v>3</v>
      </c>
    </row>
    <row r="85" spans="1:10">
      <c r="B85" s="21" t="s">
        <v>60</v>
      </c>
    </row>
    <row r="86" spans="1:10" ht="90" customHeight="1">
      <c r="B86" s="57" t="s">
        <v>455</v>
      </c>
      <c r="C86" s="57"/>
      <c r="D86" s="57"/>
      <c r="E86" s="57"/>
      <c r="F86" s="57"/>
    </row>
    <row r="88" spans="1:10" ht="25.5">
      <c r="A88" s="3" t="s">
        <v>456</v>
      </c>
      <c r="B88" t="s">
        <v>457</v>
      </c>
      <c r="D88" s="14" t="s">
        <v>410</v>
      </c>
      <c r="F88" s="14"/>
      <c r="H88" s="3">
        <v>3</v>
      </c>
      <c r="J88" s="3">
        <v>3</v>
      </c>
    </row>
    <row r="90" spans="1:10">
      <c r="B90" s="21" t="s">
        <v>60</v>
      </c>
    </row>
    <row r="91" spans="1:10" ht="60" customHeight="1">
      <c r="B91" s="57" t="s">
        <v>458</v>
      </c>
      <c r="C91" s="57"/>
      <c r="D91" s="57"/>
      <c r="E91" s="57"/>
      <c r="F91" s="57"/>
    </row>
    <row r="92" spans="1:10">
      <c r="B92" s="7"/>
    </row>
    <row r="93" spans="1:10" ht="25.5">
      <c r="A93" s="3" t="s">
        <v>459</v>
      </c>
      <c r="B93" t="s">
        <v>460</v>
      </c>
      <c r="D93" s="14" t="s">
        <v>410</v>
      </c>
      <c r="F93" s="14"/>
      <c r="H93" s="3">
        <v>3</v>
      </c>
      <c r="J93" s="3">
        <v>3</v>
      </c>
    </row>
    <row r="95" spans="1:10">
      <c r="B95" s="21" t="s">
        <v>60</v>
      </c>
    </row>
    <row r="96" spans="1:10" ht="130.15" customHeight="1">
      <c r="B96" s="57" t="s">
        <v>461</v>
      </c>
      <c r="C96" s="57"/>
      <c r="D96" s="57"/>
      <c r="E96" s="57"/>
      <c r="F96" s="57"/>
    </row>
    <row r="97" spans="1:10">
      <c r="B97" s="7"/>
    </row>
    <row r="98" spans="1:10" ht="25.5">
      <c r="A98" s="3" t="s">
        <v>462</v>
      </c>
      <c r="B98" t="s">
        <v>463</v>
      </c>
      <c r="D98" s="14" t="s">
        <v>410</v>
      </c>
      <c r="F98" s="14"/>
      <c r="H98" s="3">
        <v>3</v>
      </c>
      <c r="J98" s="3">
        <v>3</v>
      </c>
    </row>
    <row r="100" spans="1:10">
      <c r="B100" s="21" t="s">
        <v>60</v>
      </c>
    </row>
    <row r="101" spans="1:10" ht="90" customHeight="1">
      <c r="B101" s="57" t="s">
        <v>464</v>
      </c>
      <c r="C101" s="57"/>
      <c r="D101" s="57"/>
      <c r="E101" s="57"/>
      <c r="F101" s="57"/>
    </row>
    <row r="102" spans="1:10">
      <c r="A102" s="9" t="s">
        <v>465</v>
      </c>
      <c r="B102" s="8" t="s">
        <v>466</v>
      </c>
      <c r="C102" s="8"/>
      <c r="D102" s="8"/>
      <c r="E102" s="8"/>
      <c r="F102" s="8"/>
      <c r="G102" s="8"/>
      <c r="H102" s="8"/>
      <c r="I102" s="8"/>
      <c r="J102" s="8"/>
    </row>
    <row r="103" spans="1:10" ht="25.5">
      <c r="A103" s="3" t="s">
        <v>467</v>
      </c>
      <c r="B103" t="s">
        <v>468</v>
      </c>
      <c r="D103" s="14" t="s">
        <v>406</v>
      </c>
      <c r="F103" s="14"/>
      <c r="H103" s="3">
        <v>1</v>
      </c>
      <c r="J103" s="3">
        <v>1</v>
      </c>
    </row>
    <row r="105" spans="1:10">
      <c r="B105" s="21" t="s">
        <v>60</v>
      </c>
    </row>
    <row r="106" spans="1:10" ht="105" customHeight="1">
      <c r="B106" s="57" t="s">
        <v>469</v>
      </c>
      <c r="C106" s="57"/>
      <c r="D106" s="57"/>
      <c r="E106" s="57"/>
      <c r="F106" s="57"/>
    </row>
    <row r="108" spans="1:10" ht="25.5">
      <c r="A108" s="3" t="s">
        <v>470</v>
      </c>
      <c r="B108" t="s">
        <v>471</v>
      </c>
      <c r="D108" s="14" t="s">
        <v>410</v>
      </c>
      <c r="F108" s="14"/>
      <c r="H108" s="3">
        <v>2</v>
      </c>
      <c r="J108" s="3">
        <v>2</v>
      </c>
    </row>
    <row r="110" spans="1:10">
      <c r="B110" s="21" t="s">
        <v>60</v>
      </c>
    </row>
    <row r="111" spans="1:10" ht="30" customHeight="1">
      <c r="B111" s="57" t="s">
        <v>472</v>
      </c>
      <c r="C111" s="57"/>
      <c r="D111" s="57"/>
      <c r="E111" s="57"/>
      <c r="F111" s="57"/>
    </row>
    <row r="113" spans="1:10" ht="25.5">
      <c r="A113" s="3" t="s">
        <v>473</v>
      </c>
      <c r="B113" t="s">
        <v>474</v>
      </c>
      <c r="D113" s="14" t="s">
        <v>410</v>
      </c>
      <c r="F113" s="14"/>
      <c r="H113" s="3">
        <v>2</v>
      </c>
      <c r="J113" s="3">
        <v>2</v>
      </c>
    </row>
    <row r="115" spans="1:10">
      <c r="B115" s="21" t="s">
        <v>60</v>
      </c>
    </row>
    <row r="116" spans="1:10" ht="45" customHeight="1">
      <c r="B116" s="57" t="s">
        <v>475</v>
      </c>
      <c r="C116" s="57"/>
      <c r="D116" s="57"/>
      <c r="E116" s="57"/>
      <c r="F116" s="57"/>
    </row>
    <row r="117" spans="1:10">
      <c r="B117" s="7"/>
    </row>
    <row r="118" spans="1:10" ht="25.5">
      <c r="A118" s="3" t="s">
        <v>476</v>
      </c>
      <c r="B118" t="s">
        <v>477</v>
      </c>
      <c r="D118" s="14" t="s">
        <v>410</v>
      </c>
      <c r="F118" s="14"/>
      <c r="H118" s="3">
        <v>3</v>
      </c>
      <c r="J118" s="3">
        <v>3</v>
      </c>
    </row>
    <row r="120" spans="1:10">
      <c r="B120" s="21" t="s">
        <v>60</v>
      </c>
    </row>
    <row r="121" spans="1:10" ht="60" customHeight="1">
      <c r="B121" s="57" t="s">
        <v>478</v>
      </c>
      <c r="C121" s="57"/>
      <c r="D121" s="57"/>
      <c r="E121" s="57"/>
      <c r="F121" s="57"/>
    </row>
    <row r="122" spans="1:10">
      <c r="A122" s="9" t="s">
        <v>479</v>
      </c>
      <c r="B122" s="8" t="s">
        <v>480</v>
      </c>
      <c r="C122" s="8"/>
      <c r="D122" s="8"/>
      <c r="E122" s="8"/>
      <c r="F122" s="8"/>
      <c r="G122" s="8"/>
      <c r="H122" s="8"/>
      <c r="I122" s="8"/>
      <c r="J122" s="8"/>
    </row>
    <row r="123" spans="1:10" ht="25.5">
      <c r="A123" s="3" t="s">
        <v>481</v>
      </c>
      <c r="B123" t="s">
        <v>482</v>
      </c>
      <c r="D123" s="14" t="s">
        <v>410</v>
      </c>
      <c r="F123" s="14"/>
      <c r="H123" s="3">
        <v>2</v>
      </c>
      <c r="J123" s="3">
        <v>2</v>
      </c>
    </row>
    <row r="125" spans="1:10">
      <c r="B125" s="21" t="s">
        <v>60</v>
      </c>
    </row>
    <row r="126" spans="1:10" ht="150" customHeight="1">
      <c r="B126" s="57" t="s">
        <v>483</v>
      </c>
      <c r="C126" s="57"/>
      <c r="D126" s="57"/>
      <c r="E126" s="57"/>
      <c r="F126" s="57"/>
    </row>
    <row r="127" spans="1:10">
      <c r="B127" s="7"/>
    </row>
    <row r="128" spans="1:10" ht="38.25">
      <c r="A128" s="3" t="s">
        <v>484</v>
      </c>
      <c r="B128" t="s">
        <v>485</v>
      </c>
      <c r="D128" s="14" t="s">
        <v>410</v>
      </c>
      <c r="F128" s="14"/>
      <c r="H128" s="3">
        <v>3</v>
      </c>
      <c r="J128" s="3">
        <v>3</v>
      </c>
    </row>
    <row r="130" spans="1:10">
      <c r="B130" s="21" t="s">
        <v>60</v>
      </c>
    </row>
    <row r="131" spans="1:10" ht="60" customHeight="1">
      <c r="B131" s="57" t="s">
        <v>486</v>
      </c>
      <c r="C131" s="57"/>
      <c r="D131" s="57"/>
      <c r="E131" s="57"/>
      <c r="F131" s="57"/>
    </row>
    <row r="132" spans="1:10">
      <c r="A132" s="9" t="s">
        <v>487</v>
      </c>
      <c r="B132" s="8" t="s">
        <v>488</v>
      </c>
      <c r="C132" s="8"/>
      <c r="D132" s="8"/>
      <c r="E132" s="8"/>
      <c r="F132" s="8"/>
      <c r="G132" s="8"/>
      <c r="H132" s="8"/>
      <c r="I132" s="8"/>
      <c r="J132" s="8"/>
    </row>
    <row r="133" spans="1:10" ht="25.5">
      <c r="A133" s="3" t="s">
        <v>489</v>
      </c>
      <c r="B133" t="s">
        <v>490</v>
      </c>
      <c r="D133" s="14" t="s">
        <v>491</v>
      </c>
      <c r="F133" s="14"/>
      <c r="H133" s="3">
        <v>2</v>
      </c>
      <c r="J133" s="3">
        <v>1</v>
      </c>
    </row>
    <row r="135" spans="1:10">
      <c r="B135" s="21" t="s">
        <v>60</v>
      </c>
    </row>
    <row r="136" spans="1:10" ht="120" customHeight="1">
      <c r="B136" s="57" t="s">
        <v>492</v>
      </c>
      <c r="C136" s="57"/>
      <c r="D136" s="57"/>
      <c r="E136" s="57"/>
      <c r="F136" s="57"/>
    </row>
    <row r="137" spans="1:10">
      <c r="B137" s="7"/>
    </row>
    <row r="138" spans="1:10">
      <c r="A138" s="3" t="s">
        <v>493</v>
      </c>
      <c r="B138" t="s">
        <v>494</v>
      </c>
      <c r="D138" s="14" t="s">
        <v>495</v>
      </c>
      <c r="F138" s="14"/>
      <c r="H138" s="3">
        <v>2</v>
      </c>
      <c r="J138" s="3">
        <v>1</v>
      </c>
    </row>
    <row r="140" spans="1:10">
      <c r="B140" s="21" t="s">
        <v>60</v>
      </c>
    </row>
    <row r="141" spans="1:10" ht="105" customHeight="1">
      <c r="B141" s="57" t="s">
        <v>496</v>
      </c>
      <c r="C141" s="57"/>
      <c r="D141" s="57"/>
      <c r="E141" s="57"/>
      <c r="F141" s="57"/>
    </row>
    <row r="142" spans="1:10">
      <c r="B142" s="7"/>
    </row>
    <row r="143" spans="1:10" ht="25.5">
      <c r="A143" s="3" t="s">
        <v>497</v>
      </c>
      <c r="B143" t="s">
        <v>498</v>
      </c>
      <c r="D143" s="14" t="s">
        <v>491</v>
      </c>
      <c r="F143" s="14"/>
      <c r="H143" s="3">
        <v>2</v>
      </c>
      <c r="J143" s="3">
        <v>2</v>
      </c>
    </row>
    <row r="145" spans="2:6">
      <c r="B145" s="21" t="s">
        <v>60</v>
      </c>
    </row>
    <row r="146" spans="2:6" ht="30" customHeight="1">
      <c r="B146" s="57" t="s">
        <v>499</v>
      </c>
      <c r="C146" s="57"/>
      <c r="D146" s="57"/>
      <c r="E146" s="57"/>
      <c r="F146" s="57"/>
    </row>
    <row r="147" spans="2:6">
      <c r="B147" s="7"/>
      <c r="F147" s="10" t="s">
        <v>150</v>
      </c>
    </row>
  </sheetData>
  <sheetProtection algorithmName="SHA-1" hashValue="iX8F4jfDfXYLOIkManuT8a0zSZ0=" saltValue="/lo6Cd6OhfDWcwg4GLBXYw==" spinCount="100000" sheet="1" objects="1" scenarios="1"/>
  <mergeCells count="28">
    <mergeCell ref="B131:F131"/>
    <mergeCell ref="B136:F136"/>
    <mergeCell ref="B141:F141"/>
    <mergeCell ref="B146:F146"/>
    <mergeCell ref="B101:F101"/>
    <mergeCell ref="B106:F106"/>
    <mergeCell ref="B111:F111"/>
    <mergeCell ref="B116:F116"/>
    <mergeCell ref="B121:F121"/>
    <mergeCell ref="B126:F126"/>
    <mergeCell ref="B96:F96"/>
    <mergeCell ref="B41:F41"/>
    <mergeCell ref="B46:F46"/>
    <mergeCell ref="B51:F51"/>
    <mergeCell ref="B56:F56"/>
    <mergeCell ref="B61:F61"/>
    <mergeCell ref="B66:F66"/>
    <mergeCell ref="B71:F71"/>
    <mergeCell ref="B76:F76"/>
    <mergeCell ref="B81:F81"/>
    <mergeCell ref="B86:F86"/>
    <mergeCell ref="B91:F91"/>
    <mergeCell ref="B36:F36"/>
    <mergeCell ref="B11:F11"/>
    <mergeCell ref="B16:F16"/>
    <mergeCell ref="B21:F21"/>
    <mergeCell ref="B26:F26"/>
    <mergeCell ref="B31:F31"/>
  </mergeCells>
  <dataValidations count="3">
    <dataValidation type="list" allowBlank="1" showInputMessage="1" showErrorMessage="1" sqref="D8 D43 D48 D103" xr:uid="{82DD8299-F337-3442-BEFD-7B14557AC4E3}">
      <formula1>Response_MIL1</formula1>
    </dataValidation>
    <dataValidation type="list" allowBlank="1" showInputMessage="1" showErrorMessage="1" sqref="D133 D138 D143" xr:uid="{9144A0FD-BB55-F544-9EE1-22524B208987}">
      <formula1>AntiPattern</formula1>
    </dataValidation>
    <dataValidation type="list" allowBlank="1" showInputMessage="1" showErrorMessage="1" sqref="D128 D123 D118 D13 D18 D23 D28 D33 D38 D53 D58 D63 D68 D73 D78 D83 D88 D93 D98 D108 D113" xr:uid="{58FB876C-949B-3147-9639-780E3FE593EB}">
      <formula1>Response_MIL23</formula1>
    </dataValidation>
  </dataValidations>
  <hyperlinks>
    <hyperlink ref="A1" location="Home!G14" tooltip="Click here to return Home" display="Home" xr:uid="{A2EC6EB9-D849-A744-BE34-CA5BE72BD196}"/>
    <hyperlink ref="F147" location="CPM!D12" tooltip="Go to Top" display="Go to Top" xr:uid="{5363E272-68F8-A54C-AD1E-26B79AE1AEC5}"/>
  </hyperlink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D9CE4-4B6A-4449-BD4E-34F46516FA1B}">
  <sheetPr codeName="Sheet4">
    <tabColor theme="3" tint="0.79998168889431442"/>
    <outlinePr summaryBelow="0"/>
  </sheetPr>
  <dimension ref="A1:J107"/>
  <sheetViews>
    <sheetView zoomScale="120" zoomScaleNormal="120" workbookViewId="0">
      <pane ySplit="6" topLeftCell="A7" activePane="bottomLeft" state="frozen"/>
      <selection pane="bottomLeft" activeCell="A7" sqref="A7"/>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20.25" thickBot="1">
      <c r="B2" s="4" t="s">
        <v>500</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501</v>
      </c>
      <c r="B7" s="8" t="s">
        <v>502</v>
      </c>
      <c r="C7" s="8"/>
      <c r="D7" s="8"/>
      <c r="E7" s="8"/>
      <c r="F7" s="8"/>
      <c r="G7" s="8"/>
      <c r="H7" s="8"/>
      <c r="I7" s="8"/>
      <c r="J7" s="8"/>
    </row>
    <row r="8" spans="1:10" ht="25.5">
      <c r="A8" s="3" t="s">
        <v>503</v>
      </c>
      <c r="B8" t="s">
        <v>504</v>
      </c>
      <c r="D8" s="14"/>
      <c r="F8" s="14"/>
      <c r="H8" s="3">
        <v>1</v>
      </c>
      <c r="J8" s="3">
        <v>1</v>
      </c>
    </row>
    <row r="10" spans="1:10">
      <c r="B10" s="21" t="s">
        <v>60</v>
      </c>
    </row>
    <row r="11" spans="1:10" ht="75" customHeight="1">
      <c r="B11" s="57" t="s">
        <v>505</v>
      </c>
      <c r="C11" s="57"/>
      <c r="D11" s="57"/>
      <c r="E11" s="57"/>
      <c r="F11" s="57"/>
    </row>
    <row r="13" spans="1:10" ht="38.25">
      <c r="A13" s="3" t="s">
        <v>506</v>
      </c>
      <c r="B13" t="s">
        <v>507</v>
      </c>
      <c r="D13" s="14"/>
      <c r="F13" s="14"/>
      <c r="H13" s="3">
        <v>1</v>
      </c>
      <c r="J13" s="3">
        <v>1</v>
      </c>
    </row>
    <row r="15" spans="1:10">
      <c r="B15" s="21" t="s">
        <v>60</v>
      </c>
    </row>
    <row r="16" spans="1:10" ht="105" customHeight="1">
      <c r="B16" s="57" t="s">
        <v>508</v>
      </c>
      <c r="C16" s="57"/>
      <c r="D16" s="57"/>
      <c r="E16" s="57"/>
      <c r="F16" s="57"/>
    </row>
    <row r="18" spans="1:10" ht="38.25">
      <c r="A18" s="3" t="s">
        <v>509</v>
      </c>
      <c r="B18" t="s">
        <v>510</v>
      </c>
      <c r="D18" s="14"/>
      <c r="F18" s="14"/>
      <c r="H18" s="3">
        <v>2</v>
      </c>
      <c r="J18" s="3">
        <v>2</v>
      </c>
    </row>
    <row r="20" spans="1:10">
      <c r="B20" s="21" t="s">
        <v>60</v>
      </c>
    </row>
    <row r="21" spans="1:10" ht="75" customHeight="1">
      <c r="B21" s="57" t="s">
        <v>511</v>
      </c>
      <c r="C21" s="57"/>
      <c r="D21" s="57"/>
      <c r="E21" s="57"/>
      <c r="F21" s="57"/>
    </row>
    <row r="23" spans="1:10" ht="25.5">
      <c r="A23" s="3" t="s">
        <v>512</v>
      </c>
      <c r="B23" t="s">
        <v>513</v>
      </c>
      <c r="D23" s="14"/>
      <c r="F23" s="14"/>
      <c r="H23" s="3">
        <v>2</v>
      </c>
      <c r="J23" s="3">
        <v>2</v>
      </c>
    </row>
    <row r="25" spans="1:10">
      <c r="B25" s="21" t="s">
        <v>60</v>
      </c>
    </row>
    <row r="26" spans="1:10" ht="75" customHeight="1">
      <c r="B26" s="57" t="s">
        <v>514</v>
      </c>
      <c r="C26" s="57"/>
      <c r="D26" s="57"/>
      <c r="E26" s="57"/>
      <c r="F26" s="57"/>
    </row>
    <row r="28" spans="1:10" ht="25.5">
      <c r="A28" s="3" t="s">
        <v>515</v>
      </c>
      <c r="B28" t="s">
        <v>516</v>
      </c>
      <c r="D28" s="14"/>
      <c r="F28" s="14"/>
      <c r="H28" s="3">
        <v>3</v>
      </c>
      <c r="J28" s="3">
        <v>3</v>
      </c>
    </row>
    <row r="30" spans="1:10">
      <c r="B30" s="21" t="s">
        <v>60</v>
      </c>
    </row>
    <row r="31" spans="1:10" ht="90" customHeight="1">
      <c r="B31" s="57" t="s">
        <v>517</v>
      </c>
      <c r="C31" s="57"/>
      <c r="D31" s="57"/>
      <c r="E31" s="57"/>
      <c r="F31" s="57"/>
    </row>
    <row r="33" spans="1:10">
      <c r="A33" s="3" t="s">
        <v>518</v>
      </c>
      <c r="B33" t="s">
        <v>519</v>
      </c>
      <c r="D33" s="14"/>
      <c r="F33" s="14"/>
      <c r="H33" s="3">
        <v>3</v>
      </c>
      <c r="J33" s="3">
        <v>2</v>
      </c>
    </row>
    <row r="35" spans="1:10">
      <c r="B35" s="21" t="s">
        <v>60</v>
      </c>
    </row>
    <row r="36" spans="1:10" ht="45" customHeight="1">
      <c r="B36" s="57" t="s">
        <v>520</v>
      </c>
      <c r="C36" s="57"/>
      <c r="D36" s="57"/>
      <c r="E36" s="57"/>
      <c r="F36" s="57"/>
    </row>
    <row r="37" spans="1:10">
      <c r="A37" s="9" t="s">
        <v>521</v>
      </c>
      <c r="B37" s="8" t="s">
        <v>522</v>
      </c>
      <c r="C37" s="8"/>
      <c r="D37" s="8"/>
      <c r="E37" s="8"/>
      <c r="F37" s="8"/>
      <c r="G37" s="8"/>
      <c r="H37" s="8"/>
      <c r="I37" s="8"/>
      <c r="J37" s="8"/>
    </row>
    <row r="38" spans="1:10" ht="38.25">
      <c r="A38" s="3" t="s">
        <v>523</v>
      </c>
      <c r="B38" t="s">
        <v>524</v>
      </c>
      <c r="D38" s="14"/>
      <c r="F38" s="14"/>
      <c r="H38" s="3">
        <v>1</v>
      </c>
      <c r="J38" s="3">
        <v>1</v>
      </c>
    </row>
    <row r="40" spans="1:10">
      <c r="B40" s="21" t="s">
        <v>60</v>
      </c>
    </row>
    <row r="41" spans="1:10" ht="45" customHeight="1">
      <c r="B41" s="57" t="s">
        <v>525</v>
      </c>
      <c r="C41" s="57"/>
      <c r="D41" s="57"/>
      <c r="E41" s="57"/>
      <c r="F41" s="57"/>
    </row>
    <row r="43" spans="1:10" ht="25.5">
      <c r="A43" s="3" t="s">
        <v>526</v>
      </c>
      <c r="B43" t="s">
        <v>527</v>
      </c>
      <c r="D43" s="14"/>
      <c r="F43" s="14"/>
      <c r="H43" s="3">
        <v>1</v>
      </c>
      <c r="J43" s="3">
        <v>1</v>
      </c>
    </row>
    <row r="45" spans="1:10">
      <c r="B45" s="21" t="s">
        <v>60</v>
      </c>
    </row>
    <row r="46" spans="1:10" ht="15" customHeight="1">
      <c r="B46" s="57" t="s">
        <v>528</v>
      </c>
      <c r="C46" s="57"/>
      <c r="D46" s="57"/>
      <c r="E46" s="57"/>
      <c r="F46" s="57"/>
    </row>
    <row r="48" spans="1:10">
      <c r="A48" s="3" t="s">
        <v>529</v>
      </c>
      <c r="B48" t="s">
        <v>530</v>
      </c>
      <c r="D48" s="14"/>
      <c r="F48" s="14"/>
      <c r="H48" s="3">
        <v>2</v>
      </c>
      <c r="J48" s="3">
        <v>2</v>
      </c>
    </row>
    <row r="50" spans="1:10">
      <c r="B50" s="21" t="s">
        <v>60</v>
      </c>
    </row>
    <row r="51" spans="1:10" ht="105" customHeight="1">
      <c r="B51" s="57" t="s">
        <v>531</v>
      </c>
      <c r="C51" s="57"/>
      <c r="D51" s="57"/>
      <c r="E51" s="57"/>
      <c r="F51" s="57"/>
    </row>
    <row r="53" spans="1:10" ht="25.5">
      <c r="A53" s="3" t="s">
        <v>532</v>
      </c>
      <c r="B53" t="s">
        <v>533</v>
      </c>
      <c r="D53" s="14"/>
      <c r="F53" s="14"/>
      <c r="H53" s="3">
        <v>3</v>
      </c>
      <c r="J53" s="3">
        <v>3</v>
      </c>
    </row>
    <row r="55" spans="1:10">
      <c r="B55" s="21" t="s">
        <v>60</v>
      </c>
    </row>
    <row r="56" spans="1:10" ht="45" customHeight="1">
      <c r="B56" s="57" t="s">
        <v>534</v>
      </c>
      <c r="C56" s="57"/>
      <c r="D56" s="57"/>
      <c r="E56" s="57"/>
      <c r="F56" s="57"/>
    </row>
    <row r="58" spans="1:10" ht="25.5">
      <c r="A58" s="3" t="s">
        <v>535</v>
      </c>
      <c r="B58" t="s">
        <v>536</v>
      </c>
      <c r="D58" s="14"/>
      <c r="F58" s="14"/>
      <c r="H58" s="3">
        <v>3</v>
      </c>
      <c r="J58" s="3">
        <v>3</v>
      </c>
    </row>
    <row r="60" spans="1:10">
      <c r="B60" s="21" t="s">
        <v>60</v>
      </c>
    </row>
    <row r="61" spans="1:10" ht="75" customHeight="1">
      <c r="B61" s="57" t="s">
        <v>537</v>
      </c>
      <c r="C61" s="57"/>
      <c r="D61" s="57"/>
      <c r="E61" s="57"/>
      <c r="F61" s="57"/>
    </row>
    <row r="62" spans="1:10">
      <c r="A62" s="9" t="s">
        <v>538</v>
      </c>
      <c r="B62" s="8" t="s">
        <v>539</v>
      </c>
      <c r="C62" s="8"/>
      <c r="D62" s="8"/>
      <c r="E62" s="8"/>
      <c r="F62" s="8"/>
      <c r="G62" s="8"/>
      <c r="H62" s="8"/>
      <c r="I62" s="8"/>
      <c r="J62" s="8"/>
    </row>
    <row r="63" spans="1:10" ht="25.5">
      <c r="A63" s="3" t="s">
        <v>540</v>
      </c>
      <c r="B63" t="s">
        <v>541</v>
      </c>
      <c r="D63" s="14"/>
      <c r="F63" s="14"/>
      <c r="H63" s="3">
        <v>1</v>
      </c>
      <c r="J63" s="3">
        <v>1</v>
      </c>
    </row>
    <row r="65" spans="1:10">
      <c r="B65" s="21" t="s">
        <v>60</v>
      </c>
    </row>
    <row r="66" spans="1:10" ht="15" customHeight="1">
      <c r="B66" s="57" t="s">
        <v>542</v>
      </c>
      <c r="C66" s="57"/>
      <c r="D66" s="57"/>
      <c r="E66" s="57"/>
      <c r="F66" s="57"/>
    </row>
    <row r="68" spans="1:10">
      <c r="A68" s="3" t="s">
        <v>543</v>
      </c>
      <c r="B68" t="s">
        <v>544</v>
      </c>
      <c r="D68" s="14"/>
      <c r="F68" s="14"/>
      <c r="H68" s="3">
        <v>1</v>
      </c>
      <c r="J68" s="3">
        <v>1</v>
      </c>
    </row>
    <row r="70" spans="1:10">
      <c r="B70" s="21" t="s">
        <v>60</v>
      </c>
    </row>
    <row r="71" spans="1:10" ht="30" customHeight="1">
      <c r="B71" s="57" t="s">
        <v>545</v>
      </c>
      <c r="C71" s="57"/>
      <c r="D71" s="57"/>
      <c r="E71" s="57"/>
      <c r="F71" s="57"/>
    </row>
    <row r="73" spans="1:10">
      <c r="A73" s="3" t="s">
        <v>546</v>
      </c>
      <c r="B73" t="s">
        <v>547</v>
      </c>
      <c r="D73" s="14"/>
      <c r="F73" s="14"/>
      <c r="H73" s="3">
        <v>2</v>
      </c>
      <c r="J73" s="3">
        <v>1</v>
      </c>
    </row>
    <row r="75" spans="1:10">
      <c r="B75" s="21" t="s">
        <v>60</v>
      </c>
    </row>
    <row r="76" spans="1:10" ht="60" customHeight="1">
      <c r="B76" s="57" t="s">
        <v>548</v>
      </c>
      <c r="C76" s="57"/>
      <c r="D76" s="57"/>
      <c r="E76" s="57"/>
      <c r="F76" s="57"/>
    </row>
    <row r="77" spans="1:10">
      <c r="B77" s="7"/>
    </row>
    <row r="78" spans="1:10" ht="25.5">
      <c r="A78" s="3" t="s">
        <v>549</v>
      </c>
      <c r="B78" t="s">
        <v>550</v>
      </c>
      <c r="D78" s="14"/>
      <c r="F78" s="14"/>
      <c r="H78" s="3">
        <v>2</v>
      </c>
      <c r="J78" s="3">
        <v>2</v>
      </c>
    </row>
    <row r="80" spans="1:10">
      <c r="B80" s="21" t="s">
        <v>60</v>
      </c>
    </row>
    <row r="81" spans="1:10" ht="105" customHeight="1">
      <c r="B81" s="57" t="s">
        <v>551</v>
      </c>
      <c r="C81" s="57"/>
      <c r="D81" s="57"/>
      <c r="E81" s="57"/>
      <c r="F81" s="57"/>
    </row>
    <row r="83" spans="1:10">
      <c r="A83" s="3" t="s">
        <v>552</v>
      </c>
      <c r="B83" t="s">
        <v>553</v>
      </c>
      <c r="D83" s="14"/>
      <c r="F83" s="14"/>
      <c r="H83" s="3">
        <v>3</v>
      </c>
      <c r="J83" s="3">
        <v>2</v>
      </c>
    </row>
    <row r="85" spans="1:10">
      <c r="B85" s="21" t="s">
        <v>60</v>
      </c>
    </row>
    <row r="86" spans="1:10" ht="195" customHeight="1">
      <c r="B86" s="57" t="s">
        <v>554</v>
      </c>
      <c r="C86" s="57"/>
      <c r="D86" s="57"/>
      <c r="E86" s="57"/>
      <c r="F86" s="57"/>
    </row>
    <row r="87" spans="1:10">
      <c r="B87" s="7"/>
    </row>
    <row r="88" spans="1:10" ht="25.5">
      <c r="A88" s="3" t="s">
        <v>555</v>
      </c>
      <c r="B88" t="s">
        <v>556</v>
      </c>
      <c r="D88" s="14"/>
      <c r="F88" s="14"/>
      <c r="H88" s="3">
        <v>3</v>
      </c>
      <c r="J88" s="3">
        <v>3</v>
      </c>
    </row>
    <row r="90" spans="1:10">
      <c r="B90" s="21" t="s">
        <v>60</v>
      </c>
    </row>
    <row r="91" spans="1:10" ht="30" customHeight="1">
      <c r="B91" s="57" t="s">
        <v>557</v>
      </c>
      <c r="C91" s="57"/>
      <c r="D91" s="57"/>
      <c r="E91" s="57"/>
      <c r="F91" s="57"/>
    </row>
    <row r="92" spans="1:10">
      <c r="A92" s="9" t="s">
        <v>558</v>
      </c>
      <c r="B92" s="8" t="s">
        <v>559</v>
      </c>
      <c r="C92" s="8"/>
      <c r="D92" s="8"/>
      <c r="E92" s="8"/>
      <c r="F92" s="8"/>
      <c r="G92" s="8"/>
      <c r="H92" s="8"/>
      <c r="I92" s="8"/>
      <c r="J92" s="8"/>
    </row>
    <row r="93" spans="1:10" ht="25.5">
      <c r="A93" s="3" t="s">
        <v>560</v>
      </c>
      <c r="B93" t="s">
        <v>561</v>
      </c>
      <c r="D93" s="14"/>
      <c r="F93" s="14"/>
      <c r="H93" s="3">
        <v>2</v>
      </c>
      <c r="J93" s="3">
        <v>2</v>
      </c>
    </row>
    <row r="95" spans="1:10">
      <c r="B95" s="21" t="s">
        <v>60</v>
      </c>
    </row>
    <row r="96" spans="1:10" ht="75" customHeight="1">
      <c r="B96" s="57" t="s">
        <v>562</v>
      </c>
      <c r="C96" s="57"/>
      <c r="D96" s="57"/>
      <c r="E96" s="57"/>
      <c r="F96" s="57"/>
    </row>
    <row r="97" spans="1:10">
      <c r="B97" s="7"/>
    </row>
    <row r="98" spans="1:10" ht="25.5">
      <c r="A98" s="3" t="s">
        <v>563</v>
      </c>
      <c r="B98" t="s">
        <v>564</v>
      </c>
      <c r="D98" s="14"/>
      <c r="F98" s="14"/>
      <c r="H98" s="3">
        <v>2</v>
      </c>
      <c r="J98" s="3">
        <v>2</v>
      </c>
    </row>
    <row r="100" spans="1:10">
      <c r="B100" s="21" t="s">
        <v>60</v>
      </c>
    </row>
    <row r="101" spans="1:10" ht="90" customHeight="1">
      <c r="B101" s="57" t="s">
        <v>565</v>
      </c>
      <c r="C101" s="57"/>
      <c r="D101" s="57"/>
      <c r="E101" s="57"/>
      <c r="F101" s="57"/>
    </row>
    <row r="102" spans="1:10">
      <c r="B102" s="7"/>
    </row>
    <row r="103" spans="1:10">
      <c r="A103" s="3" t="s">
        <v>566</v>
      </c>
      <c r="B103" t="s">
        <v>567</v>
      </c>
      <c r="D103" s="14"/>
      <c r="F103" s="14"/>
      <c r="H103" s="3">
        <v>3</v>
      </c>
      <c r="J103" s="3">
        <v>3</v>
      </c>
    </row>
    <row r="105" spans="1:10">
      <c r="B105" s="21" t="s">
        <v>60</v>
      </c>
    </row>
    <row r="106" spans="1:10" ht="120" customHeight="1">
      <c r="B106" s="57" t="s">
        <v>568</v>
      </c>
      <c r="C106" s="57"/>
      <c r="D106" s="57"/>
      <c r="E106" s="57"/>
      <c r="F106" s="57"/>
    </row>
    <row r="107" spans="1:10">
      <c r="B107" s="7"/>
      <c r="F107" s="10" t="s">
        <v>150</v>
      </c>
    </row>
  </sheetData>
  <sheetProtection algorithmName="SHA-1" hashValue="wG1AnJcBPM9/7Q2VICmuF48N/SE=" saltValue="nBrOKrQ/FWjjl79wc+MGtg==" spinCount="100000" sheet="1" objects="1" scenarios="1"/>
  <mergeCells count="20">
    <mergeCell ref="B101:F101"/>
    <mergeCell ref="B106:F106"/>
    <mergeCell ref="B71:F71"/>
    <mergeCell ref="B76:F76"/>
    <mergeCell ref="B81:F81"/>
    <mergeCell ref="B86:F86"/>
    <mergeCell ref="B91:F91"/>
    <mergeCell ref="B96:F96"/>
    <mergeCell ref="B66:F66"/>
    <mergeCell ref="B11:F11"/>
    <mergeCell ref="B16:F16"/>
    <mergeCell ref="B21:F21"/>
    <mergeCell ref="B26:F26"/>
    <mergeCell ref="B31:F31"/>
    <mergeCell ref="B36:F36"/>
    <mergeCell ref="B41:F41"/>
    <mergeCell ref="B46:F46"/>
    <mergeCell ref="B51:F51"/>
    <mergeCell ref="B56:F56"/>
    <mergeCell ref="B61:F61"/>
  </mergeCells>
  <dataValidations count="3">
    <dataValidation type="list" allowBlank="1" showInputMessage="1" showErrorMessage="1" sqref="D88 D83 D78 D58 D18 D23 D28 D33 D73 D48 D53" xr:uid="{4757E218-E664-1449-9675-07FFC56C15DC}">
      <formula1>Response_MIL23</formula1>
    </dataValidation>
    <dataValidation type="list" allowBlank="1" showInputMessage="1" showErrorMessage="1" sqref="D93 D98 D103" xr:uid="{0D3EB099-2E98-5E44-A8F2-6DF3CB4CA114}">
      <formula1>AntiPattern</formula1>
    </dataValidation>
    <dataValidation type="list" allowBlank="1" showInputMessage="1" showErrorMessage="1" sqref="D8 D13 D38 D43 D63 D68" xr:uid="{52AADE6F-837D-D241-BA92-792DADCB1055}">
      <formula1>Response_MIL1</formula1>
    </dataValidation>
  </dataValidations>
  <hyperlinks>
    <hyperlink ref="A1" location="Home!G14" tooltip="Click here to return Home" display="Home" xr:uid="{7E74BBCD-F31F-FA4E-AB1F-6B4E9753DF15}"/>
    <hyperlink ref="F107" location="ACM!D12" tooltip="Go to Top" display="Go to Top" xr:uid="{E7674F4D-93BA-D144-9A02-6550D8250905}"/>
  </hyperlinks>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2436E-95F3-9D45-AE1B-EDF99DEEC00D}">
  <sheetPr codeName="Sheet5">
    <tabColor theme="3" tint="0.79998168889431442"/>
    <outlinePr summaryBelow="0"/>
  </sheetPr>
  <dimension ref="A1:J142"/>
  <sheetViews>
    <sheetView zoomScale="120" zoomScaleNormal="120" workbookViewId="0">
      <pane ySplit="6" topLeftCell="A31" activePane="bottomLeft" state="frozen"/>
      <selection pane="bottomLeft" activeCell="A7" sqref="A7"/>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20.25" thickBot="1">
      <c r="B2" s="4" t="s">
        <v>21</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569</v>
      </c>
      <c r="B7" s="8" t="s">
        <v>570</v>
      </c>
      <c r="C7" s="8"/>
      <c r="D7" s="8"/>
      <c r="E7" s="8"/>
      <c r="F7" s="8"/>
      <c r="G7" s="8"/>
      <c r="H7" s="8"/>
      <c r="I7" s="8"/>
      <c r="J7" s="8"/>
    </row>
    <row r="8" spans="1:10" ht="38.25">
      <c r="A8" s="3" t="s">
        <v>571</v>
      </c>
      <c r="B8" t="s">
        <v>572</v>
      </c>
      <c r="D8" s="14"/>
      <c r="F8" s="14"/>
      <c r="H8" s="3">
        <v>1</v>
      </c>
      <c r="J8" s="3">
        <v>1</v>
      </c>
    </row>
    <row r="10" spans="1:10">
      <c r="B10" s="21" t="s">
        <v>60</v>
      </c>
    </row>
    <row r="11" spans="1:10" ht="105" customHeight="1">
      <c r="B11" s="57" t="s">
        <v>573</v>
      </c>
      <c r="C11" s="57"/>
      <c r="D11" s="57"/>
      <c r="E11" s="57"/>
      <c r="F11" s="57"/>
    </row>
    <row r="13" spans="1:10" ht="25.5">
      <c r="A13" s="3" t="s">
        <v>574</v>
      </c>
      <c r="B13" t="s">
        <v>575</v>
      </c>
      <c r="D13" s="14"/>
      <c r="F13" s="14"/>
      <c r="H13" s="3">
        <v>1</v>
      </c>
      <c r="J13" s="3">
        <v>1</v>
      </c>
    </row>
    <row r="15" spans="1:10">
      <c r="B15" s="21" t="s">
        <v>60</v>
      </c>
    </row>
    <row r="16" spans="1:10" ht="120" customHeight="1">
      <c r="B16" s="57" t="s">
        <v>576</v>
      </c>
      <c r="C16" s="57"/>
      <c r="D16" s="57"/>
      <c r="E16" s="57"/>
      <c r="F16" s="57"/>
    </row>
    <row r="18" spans="1:10">
      <c r="A18" s="3" t="s">
        <v>577</v>
      </c>
      <c r="B18" t="s">
        <v>578</v>
      </c>
      <c r="D18" s="14"/>
      <c r="F18" s="14"/>
      <c r="H18" s="3">
        <v>1</v>
      </c>
      <c r="J18" s="3">
        <v>1</v>
      </c>
    </row>
    <row r="20" spans="1:10">
      <c r="B20" s="21" t="s">
        <v>60</v>
      </c>
    </row>
    <row r="21" spans="1:10" ht="30" customHeight="1">
      <c r="B21" s="57" t="s">
        <v>579</v>
      </c>
      <c r="C21" s="57"/>
      <c r="D21" s="57"/>
      <c r="E21" s="57"/>
      <c r="F21" s="57"/>
    </row>
    <row r="23" spans="1:10" ht="25.5">
      <c r="A23" s="3" t="s">
        <v>580</v>
      </c>
      <c r="B23" t="s">
        <v>581</v>
      </c>
      <c r="D23" s="14"/>
      <c r="F23" s="14"/>
      <c r="H23" s="3">
        <v>2</v>
      </c>
      <c r="J23" s="3">
        <v>2</v>
      </c>
    </row>
    <row r="25" spans="1:10">
      <c r="B25" s="21" t="s">
        <v>60</v>
      </c>
    </row>
    <row r="26" spans="1:10" ht="150" customHeight="1">
      <c r="B26" s="57" t="s">
        <v>582</v>
      </c>
      <c r="C26" s="57"/>
      <c r="D26" s="57"/>
      <c r="E26" s="57"/>
      <c r="F26" s="57"/>
    </row>
    <row r="28" spans="1:10" ht="25.5">
      <c r="A28" s="3" t="s">
        <v>583</v>
      </c>
      <c r="B28" t="s">
        <v>584</v>
      </c>
      <c r="D28" s="14"/>
      <c r="F28" s="14"/>
      <c r="H28" s="3">
        <v>2</v>
      </c>
      <c r="J28" s="3">
        <v>2</v>
      </c>
    </row>
    <row r="30" spans="1:10">
      <c r="B30" s="21" t="s">
        <v>60</v>
      </c>
    </row>
    <row r="31" spans="1:10" ht="120" customHeight="1">
      <c r="B31" s="57" t="s">
        <v>585</v>
      </c>
      <c r="C31" s="57"/>
      <c r="D31" s="57"/>
      <c r="E31" s="57"/>
      <c r="F31" s="57"/>
    </row>
    <row r="33" spans="1:10" ht="25.5">
      <c r="A33" s="3" t="s">
        <v>586</v>
      </c>
      <c r="B33" t="s">
        <v>587</v>
      </c>
      <c r="D33" s="14"/>
      <c r="F33" s="14"/>
      <c r="H33" s="3">
        <v>2</v>
      </c>
      <c r="J33" s="3">
        <v>1</v>
      </c>
    </row>
    <row r="35" spans="1:10">
      <c r="B35" s="21" t="s">
        <v>60</v>
      </c>
    </row>
    <row r="36" spans="1:10" ht="135" customHeight="1">
      <c r="B36" s="57" t="s">
        <v>588</v>
      </c>
      <c r="C36" s="57"/>
      <c r="D36" s="57"/>
      <c r="E36" s="57"/>
      <c r="F36" s="57"/>
    </row>
    <row r="38" spans="1:10" ht="25.5">
      <c r="A38" s="3" t="s">
        <v>589</v>
      </c>
      <c r="B38" t="s">
        <v>590</v>
      </c>
      <c r="D38" s="14"/>
      <c r="F38" s="14"/>
      <c r="H38" s="3">
        <v>3</v>
      </c>
      <c r="J38" s="3">
        <v>1</v>
      </c>
    </row>
    <row r="40" spans="1:10">
      <c r="B40" s="21" t="s">
        <v>60</v>
      </c>
    </row>
    <row r="41" spans="1:10" ht="120" customHeight="1">
      <c r="B41" s="57" t="s">
        <v>591</v>
      </c>
      <c r="C41" s="57"/>
      <c r="D41" s="57"/>
      <c r="E41" s="57"/>
      <c r="F41" s="57"/>
    </row>
    <row r="42" spans="1:10">
      <c r="A42" s="9" t="s">
        <v>592</v>
      </c>
      <c r="B42" s="8" t="s">
        <v>593</v>
      </c>
      <c r="C42" s="8"/>
      <c r="D42" s="8"/>
      <c r="E42" s="8"/>
      <c r="F42" s="8"/>
      <c r="G42" s="8"/>
      <c r="H42" s="8"/>
      <c r="I42" s="8"/>
      <c r="J42" s="8"/>
    </row>
    <row r="43" spans="1:10">
      <c r="A43" s="3" t="s">
        <v>594</v>
      </c>
      <c r="B43" t="s">
        <v>595</v>
      </c>
      <c r="D43" s="14"/>
      <c r="F43" s="14"/>
      <c r="H43" s="3">
        <v>1</v>
      </c>
      <c r="J43" s="3">
        <v>1</v>
      </c>
    </row>
    <row r="45" spans="1:10">
      <c r="B45" s="21" t="s">
        <v>60</v>
      </c>
    </row>
    <row r="46" spans="1:10" ht="150" customHeight="1">
      <c r="B46" s="57" t="s">
        <v>596</v>
      </c>
      <c r="C46" s="57"/>
      <c r="D46" s="57"/>
      <c r="E46" s="57"/>
      <c r="F46" s="57"/>
    </row>
    <row r="48" spans="1:10">
      <c r="A48" s="3" t="s">
        <v>597</v>
      </c>
      <c r="B48" t="s">
        <v>598</v>
      </c>
      <c r="D48" s="14"/>
      <c r="F48" s="14"/>
      <c r="H48" s="3">
        <v>1</v>
      </c>
      <c r="J48" s="3">
        <v>1</v>
      </c>
    </row>
    <row r="50" spans="1:10">
      <c r="B50" s="21" t="s">
        <v>60</v>
      </c>
    </row>
    <row r="51" spans="1:10" ht="30" customHeight="1">
      <c r="B51" s="57" t="s">
        <v>599</v>
      </c>
      <c r="C51" s="57"/>
      <c r="D51" s="57"/>
      <c r="E51" s="57"/>
      <c r="F51" s="57"/>
    </row>
    <row r="53" spans="1:10">
      <c r="A53" s="3" t="s">
        <v>600</v>
      </c>
      <c r="B53" t="s">
        <v>601</v>
      </c>
      <c r="D53" s="14"/>
      <c r="F53" s="14"/>
      <c r="H53" s="3">
        <v>1</v>
      </c>
      <c r="J53" s="3">
        <v>1</v>
      </c>
    </row>
    <row r="55" spans="1:10">
      <c r="B55" s="21" t="s">
        <v>60</v>
      </c>
    </row>
    <row r="56" spans="1:10" ht="195" customHeight="1">
      <c r="B56" s="57" t="s">
        <v>602</v>
      </c>
      <c r="C56" s="57"/>
      <c r="D56" s="57"/>
      <c r="E56" s="57"/>
      <c r="F56" s="57"/>
    </row>
    <row r="58" spans="1:10">
      <c r="A58" s="3" t="s">
        <v>603</v>
      </c>
      <c r="B58" t="s">
        <v>604</v>
      </c>
      <c r="D58" s="14"/>
      <c r="F58" s="14"/>
      <c r="H58" s="3">
        <v>2</v>
      </c>
      <c r="J58" s="3">
        <v>2</v>
      </c>
    </row>
    <row r="60" spans="1:10">
      <c r="B60" s="21" t="s">
        <v>60</v>
      </c>
    </row>
    <row r="61" spans="1:10" ht="75" customHeight="1">
      <c r="B61" s="57" t="s">
        <v>605</v>
      </c>
      <c r="C61" s="57"/>
      <c r="D61" s="57"/>
      <c r="E61" s="57"/>
      <c r="F61" s="57"/>
    </row>
    <row r="63" spans="1:10">
      <c r="A63" s="3" t="s">
        <v>606</v>
      </c>
      <c r="B63" t="s">
        <v>607</v>
      </c>
      <c r="D63" s="14"/>
      <c r="F63" s="14"/>
      <c r="H63" s="3">
        <v>2</v>
      </c>
      <c r="J63" s="3">
        <v>2</v>
      </c>
    </row>
    <row r="65" spans="1:10">
      <c r="B65" s="21" t="s">
        <v>60</v>
      </c>
    </row>
    <row r="66" spans="1:10" ht="45" customHeight="1">
      <c r="B66" s="57" t="s">
        <v>608</v>
      </c>
      <c r="C66" s="57"/>
      <c r="D66" s="57"/>
      <c r="E66" s="57"/>
      <c r="F66" s="57"/>
    </row>
    <row r="68" spans="1:10" ht="25.5">
      <c r="A68" s="3" t="s">
        <v>609</v>
      </c>
      <c r="B68" t="s">
        <v>610</v>
      </c>
      <c r="D68" s="14"/>
      <c r="F68" s="14"/>
      <c r="H68" s="3">
        <v>2</v>
      </c>
      <c r="J68" s="3">
        <v>1</v>
      </c>
    </row>
    <row r="70" spans="1:10">
      <c r="B70" s="21" t="s">
        <v>60</v>
      </c>
    </row>
    <row r="71" spans="1:10" ht="165" customHeight="1">
      <c r="B71" s="57" t="s">
        <v>611</v>
      </c>
      <c r="C71" s="57"/>
      <c r="D71" s="57"/>
      <c r="E71" s="57"/>
      <c r="F71" s="57"/>
    </row>
    <row r="73" spans="1:10" ht="25.5">
      <c r="A73" s="3" t="s">
        <v>612</v>
      </c>
      <c r="B73" t="s">
        <v>613</v>
      </c>
      <c r="D73" s="14"/>
      <c r="F73" s="14"/>
      <c r="H73" s="3">
        <v>3</v>
      </c>
      <c r="J73" s="3">
        <v>2</v>
      </c>
    </row>
    <row r="75" spans="1:10">
      <c r="B75" s="21" t="s">
        <v>60</v>
      </c>
    </row>
    <row r="76" spans="1:10" ht="90" customHeight="1">
      <c r="B76" s="57" t="s">
        <v>614</v>
      </c>
      <c r="C76" s="57"/>
      <c r="D76" s="57"/>
      <c r="E76" s="57"/>
      <c r="F76" s="57"/>
    </row>
    <row r="78" spans="1:10">
      <c r="A78" s="3" t="s">
        <v>615</v>
      </c>
      <c r="B78" t="s">
        <v>616</v>
      </c>
      <c r="D78" s="14"/>
      <c r="F78" s="14"/>
      <c r="H78" s="3">
        <v>3</v>
      </c>
      <c r="J78" s="3">
        <v>3</v>
      </c>
    </row>
    <row r="80" spans="1:10">
      <c r="B80" s="21" t="s">
        <v>60</v>
      </c>
    </row>
    <row r="81" spans="1:10" ht="105" customHeight="1">
      <c r="B81" s="57" t="s">
        <v>617</v>
      </c>
      <c r="C81" s="57"/>
      <c r="D81" s="57"/>
      <c r="E81" s="57"/>
      <c r="F81" s="57"/>
    </row>
    <row r="83" spans="1:10">
      <c r="A83" s="3" t="s">
        <v>618</v>
      </c>
      <c r="B83" t="s">
        <v>619</v>
      </c>
      <c r="D83" s="14"/>
      <c r="F83" s="14"/>
      <c r="H83" s="3">
        <v>3</v>
      </c>
      <c r="J83" s="3">
        <v>2</v>
      </c>
    </row>
    <row r="85" spans="1:10">
      <c r="B85" s="21" t="s">
        <v>60</v>
      </c>
    </row>
    <row r="86" spans="1:10" ht="135" customHeight="1">
      <c r="B86" s="57" t="s">
        <v>620</v>
      </c>
      <c r="C86" s="57"/>
      <c r="D86" s="57"/>
      <c r="E86" s="57"/>
      <c r="F86" s="57"/>
    </row>
    <row r="87" spans="1:10">
      <c r="A87" s="9" t="s">
        <v>621</v>
      </c>
      <c r="B87" s="8" t="s">
        <v>622</v>
      </c>
      <c r="C87" s="8"/>
      <c r="D87" s="8"/>
      <c r="E87" s="8"/>
      <c r="F87" s="8"/>
      <c r="G87" s="8"/>
      <c r="H87" s="8"/>
      <c r="I87" s="8"/>
      <c r="J87" s="8"/>
    </row>
    <row r="88" spans="1:10" ht="25.5">
      <c r="A88" s="3" t="s">
        <v>623</v>
      </c>
      <c r="B88" t="s">
        <v>624</v>
      </c>
      <c r="D88" s="14"/>
      <c r="F88" s="14"/>
      <c r="H88" s="3">
        <v>1</v>
      </c>
      <c r="J88" s="3">
        <v>1</v>
      </c>
    </row>
    <row r="90" spans="1:10">
      <c r="B90" s="21" t="s">
        <v>60</v>
      </c>
    </row>
    <row r="91" spans="1:10" ht="135" customHeight="1">
      <c r="B91" s="57" t="s">
        <v>625</v>
      </c>
      <c r="C91" s="57"/>
      <c r="D91" s="57"/>
      <c r="E91" s="57"/>
      <c r="F91" s="57"/>
    </row>
    <row r="93" spans="1:10" ht="25.5">
      <c r="A93" s="3" t="s">
        <v>626</v>
      </c>
      <c r="B93" t="s">
        <v>627</v>
      </c>
      <c r="D93" s="14"/>
      <c r="F93" s="14"/>
      <c r="H93" s="3">
        <v>2</v>
      </c>
      <c r="J93" s="3">
        <v>2</v>
      </c>
    </row>
    <row r="95" spans="1:10">
      <c r="B95" s="21" t="s">
        <v>60</v>
      </c>
    </row>
    <row r="96" spans="1:10" ht="180" customHeight="1">
      <c r="B96" s="57" t="s">
        <v>628</v>
      </c>
      <c r="C96" s="57"/>
      <c r="D96" s="57"/>
      <c r="E96" s="57"/>
      <c r="F96" s="57"/>
    </row>
    <row r="98" spans="1:10" ht="25.5">
      <c r="A98" s="3" t="s">
        <v>629</v>
      </c>
      <c r="B98" t="s">
        <v>630</v>
      </c>
      <c r="D98" s="14"/>
      <c r="F98" s="14"/>
      <c r="H98" s="3">
        <v>2</v>
      </c>
      <c r="J98" s="3">
        <v>2</v>
      </c>
    </row>
    <row r="100" spans="1:10">
      <c r="B100" s="21" t="s">
        <v>60</v>
      </c>
    </row>
    <row r="101" spans="1:10" ht="195" customHeight="1">
      <c r="B101" s="57" t="s">
        <v>631</v>
      </c>
      <c r="C101" s="57"/>
      <c r="D101" s="57"/>
      <c r="E101" s="57"/>
      <c r="F101" s="57"/>
    </row>
    <row r="102" spans="1:10">
      <c r="B102" s="7"/>
    </row>
    <row r="103" spans="1:10" ht="25.5">
      <c r="A103" s="3" t="s">
        <v>632</v>
      </c>
      <c r="B103" t="s">
        <v>633</v>
      </c>
      <c r="D103" s="14"/>
      <c r="F103" s="14"/>
      <c r="H103" s="3">
        <v>2</v>
      </c>
      <c r="J103" s="3">
        <v>1</v>
      </c>
    </row>
    <row r="105" spans="1:10">
      <c r="B105" s="21" t="s">
        <v>60</v>
      </c>
    </row>
    <row r="106" spans="1:10" ht="300" customHeight="1">
      <c r="B106" s="57" t="s">
        <v>634</v>
      </c>
      <c r="C106" s="57"/>
      <c r="D106" s="57"/>
      <c r="E106" s="57"/>
      <c r="F106" s="57"/>
    </row>
    <row r="108" spans="1:10">
      <c r="A108" s="3" t="s">
        <v>635</v>
      </c>
      <c r="B108" t="s">
        <v>636</v>
      </c>
      <c r="D108" s="14"/>
      <c r="F108" s="14"/>
      <c r="H108" s="3">
        <v>2</v>
      </c>
      <c r="J108" s="3">
        <v>1</v>
      </c>
    </row>
    <row r="110" spans="1:10">
      <c r="B110" s="21" t="s">
        <v>60</v>
      </c>
    </row>
    <row r="111" spans="1:10" ht="150" customHeight="1">
      <c r="B111" s="57" t="s">
        <v>637</v>
      </c>
      <c r="C111" s="57"/>
      <c r="D111" s="57"/>
      <c r="E111" s="57"/>
      <c r="F111" s="57"/>
    </row>
    <row r="112" spans="1:10">
      <c r="B112" s="7"/>
    </row>
    <row r="113" spans="1:10" ht="25.5">
      <c r="A113" s="3" t="s">
        <v>638</v>
      </c>
      <c r="B113" t="s">
        <v>639</v>
      </c>
      <c r="D113" s="14"/>
      <c r="F113" s="14"/>
      <c r="H113" s="3">
        <v>2</v>
      </c>
      <c r="J113" s="3">
        <v>2</v>
      </c>
    </row>
    <row r="115" spans="1:10">
      <c r="B115" s="21" t="s">
        <v>60</v>
      </c>
    </row>
    <row r="116" spans="1:10" ht="225" customHeight="1">
      <c r="B116" s="57" t="s">
        <v>640</v>
      </c>
      <c r="C116" s="57"/>
      <c r="D116" s="57"/>
      <c r="E116" s="57"/>
      <c r="F116" s="57"/>
    </row>
    <row r="118" spans="1:10">
      <c r="A118" s="3" t="s">
        <v>641</v>
      </c>
      <c r="B118" t="s">
        <v>642</v>
      </c>
      <c r="D118" s="14"/>
      <c r="F118" s="14"/>
      <c r="H118" s="3">
        <v>2</v>
      </c>
      <c r="J118" s="3">
        <v>2</v>
      </c>
    </row>
    <row r="120" spans="1:10">
      <c r="B120" s="21" t="s">
        <v>60</v>
      </c>
    </row>
    <row r="121" spans="1:10" ht="195" customHeight="1">
      <c r="B121" s="57" t="s">
        <v>643</v>
      </c>
      <c r="C121" s="57"/>
      <c r="D121" s="57"/>
      <c r="E121" s="57"/>
      <c r="F121" s="57"/>
    </row>
    <row r="122" spans="1:10">
      <c r="B122" s="7"/>
    </row>
    <row r="123" spans="1:10" ht="25.5">
      <c r="A123" s="3" t="s">
        <v>644</v>
      </c>
      <c r="B123" t="s">
        <v>645</v>
      </c>
      <c r="D123" s="14"/>
      <c r="F123" s="14"/>
      <c r="H123" s="3">
        <v>3</v>
      </c>
      <c r="J123" s="3">
        <v>2</v>
      </c>
    </row>
    <row r="125" spans="1:10">
      <c r="B125" s="21" t="s">
        <v>60</v>
      </c>
    </row>
    <row r="126" spans="1:10" ht="165" customHeight="1">
      <c r="B126" s="57" t="s">
        <v>646</v>
      </c>
      <c r="C126" s="57"/>
      <c r="D126" s="57"/>
      <c r="E126" s="57"/>
      <c r="F126" s="57"/>
    </row>
    <row r="127" spans="1:10">
      <c r="B127" s="7"/>
    </row>
    <row r="128" spans="1:10">
      <c r="A128" s="3" t="s">
        <v>647</v>
      </c>
      <c r="B128" t="s">
        <v>648</v>
      </c>
      <c r="D128" s="14"/>
      <c r="F128" s="14"/>
      <c r="H128" s="3">
        <v>3</v>
      </c>
      <c r="J128" s="3">
        <v>1</v>
      </c>
    </row>
    <row r="130" spans="1:10">
      <c r="B130" s="21" t="s">
        <v>60</v>
      </c>
    </row>
    <row r="131" spans="1:10" ht="135" customHeight="1">
      <c r="B131" s="57" t="s">
        <v>649</v>
      </c>
      <c r="C131" s="57"/>
      <c r="D131" s="57"/>
      <c r="E131" s="57"/>
      <c r="F131" s="57"/>
    </row>
    <row r="133" spans="1:10" ht="25.5">
      <c r="A133" s="3" t="s">
        <v>650</v>
      </c>
      <c r="B133" t="s">
        <v>651</v>
      </c>
      <c r="D133" s="14"/>
      <c r="F133" s="14"/>
      <c r="H133" s="3">
        <v>3</v>
      </c>
      <c r="J133" s="3">
        <v>3</v>
      </c>
    </row>
    <row r="135" spans="1:10">
      <c r="B135" s="21" t="s">
        <v>60</v>
      </c>
    </row>
    <row r="136" spans="1:10" ht="180" customHeight="1">
      <c r="B136" s="57" t="s">
        <v>652</v>
      </c>
      <c r="C136" s="57"/>
      <c r="D136" s="57"/>
      <c r="E136" s="57"/>
      <c r="F136" s="57"/>
    </row>
    <row r="138" spans="1:10" ht="25.5">
      <c r="A138" s="3" t="s">
        <v>653</v>
      </c>
      <c r="B138" t="s">
        <v>654</v>
      </c>
      <c r="D138" s="14"/>
      <c r="F138" s="14"/>
      <c r="H138" s="3">
        <v>3</v>
      </c>
      <c r="J138" s="3">
        <v>2</v>
      </c>
    </row>
    <row r="140" spans="1:10">
      <c r="B140" s="21" t="s">
        <v>60</v>
      </c>
    </row>
    <row r="141" spans="1:10" ht="165" customHeight="1">
      <c r="B141" s="57" t="s">
        <v>655</v>
      </c>
      <c r="C141" s="57"/>
      <c r="D141" s="57"/>
      <c r="E141" s="57"/>
      <c r="F141" s="57"/>
    </row>
    <row r="142" spans="1:10">
      <c r="F142" s="10" t="s">
        <v>150</v>
      </c>
    </row>
  </sheetData>
  <sheetProtection algorithmName="SHA-1" hashValue="QMTn83DUMe4IaY00pK88C5Md5QQ=" saltValue="AOlsBaQ5xtLirGTr7RmcEQ==" spinCount="100000" sheet="1" objects="1" scenarios="1"/>
  <mergeCells count="27">
    <mergeCell ref="B56:F56"/>
    <mergeCell ref="B51:F51"/>
    <mergeCell ref="B46:F46"/>
    <mergeCell ref="B41:F41"/>
    <mergeCell ref="B36:F36"/>
    <mergeCell ref="B61:F61"/>
    <mergeCell ref="B121:F121"/>
    <mergeCell ref="B111:F111"/>
    <mergeCell ref="B106:F106"/>
    <mergeCell ref="B101:F101"/>
    <mergeCell ref="B96:F96"/>
    <mergeCell ref="B91:F91"/>
    <mergeCell ref="B86:F86"/>
    <mergeCell ref="B81:F81"/>
    <mergeCell ref="B76:F76"/>
    <mergeCell ref="B71:F71"/>
    <mergeCell ref="B66:F66"/>
    <mergeCell ref="B11:F11"/>
    <mergeCell ref="B16:F16"/>
    <mergeCell ref="B21:F21"/>
    <mergeCell ref="B31:F31"/>
    <mergeCell ref="B26:F26"/>
    <mergeCell ref="B141:F141"/>
    <mergeCell ref="B136:F136"/>
    <mergeCell ref="B131:F131"/>
    <mergeCell ref="B126:F126"/>
    <mergeCell ref="B116:F116"/>
  </mergeCells>
  <dataValidations count="3">
    <dataValidation type="list" allowBlank="1" showInputMessage="1" showErrorMessage="1" sqref="D63 D68 D73 D83 D78 D23 D28 D33 D38 D58" xr:uid="{1047C87E-BA5D-4A43-87AF-8E7276330ED0}">
      <formula1>Response_MIL23</formula1>
    </dataValidation>
    <dataValidation type="list" allowBlank="1" showInputMessage="1" showErrorMessage="1" sqref="D88 D93 D98 D103 D108 D113 D118 D123 D128 D133 D138" xr:uid="{68B192A6-62FA-D447-B0CD-A695DC66907E}">
      <formula1>AntiPattern</formula1>
    </dataValidation>
    <dataValidation type="list" allowBlank="1" showInputMessage="1" showErrorMessage="1" sqref="D53 D8 D13 D18 D43 D48" xr:uid="{402733B6-3528-0143-AA03-C30E4E8F3B54}">
      <formula1>Response_MIL1</formula1>
    </dataValidation>
  </dataValidations>
  <hyperlinks>
    <hyperlink ref="A1" location="Home!G14" tooltip="Click here to return Home" display="Home" xr:uid="{3BC4FC39-E4C0-9B47-BB26-C5B7127DC215}"/>
    <hyperlink ref="F142" location="IAM!D12" tooltip="Go to Top" display="Go to Top" xr:uid="{38C7C381-F8A9-0745-A588-EC6784CB8F2C}"/>
  </hyperlinks>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FD762-57E2-AF42-8D72-44FE304A0776}">
  <sheetPr codeName="Sheet6">
    <tabColor theme="3" tint="0.79998168889431442"/>
    <outlinePr summaryBelow="0"/>
  </sheetPr>
  <dimension ref="A1:J67"/>
  <sheetViews>
    <sheetView zoomScale="120" zoomScaleNormal="120" workbookViewId="0">
      <pane ySplit="6" topLeftCell="A7" activePane="bottomLeft" state="frozen"/>
      <selection pane="bottomLeft" activeCell="A7" sqref="A7"/>
      <selection activeCell="D12" sqref="D12"/>
    </sheetView>
  </sheetViews>
  <sheetFormatPr defaultColWidth="11" defaultRowHeight="12.75"/>
  <cols>
    <col min="1" max="1" width="11" customWidth="1"/>
    <col min="2" max="2" width="69.7109375" customWidth="1"/>
    <col min="3" max="3" width="1.7109375" customWidth="1"/>
    <col min="4" max="4" width="22.5703125" customWidth="1"/>
    <col min="5" max="5" width="1.5703125" customWidth="1"/>
    <col min="6" max="6" width="48.7109375" customWidth="1"/>
    <col min="7" max="7" width="1.5703125" customWidth="1"/>
    <col min="8" max="8" width="5.7109375" customWidth="1"/>
    <col min="9" max="9" width="1.7109375" customWidth="1"/>
    <col min="10" max="10" width="5.7109375" customWidth="1"/>
    <col min="11" max="16" width="10.5703125" customWidth="1"/>
  </cols>
  <sheetData>
    <row r="1" spans="1:10">
      <c r="A1" s="6" t="s">
        <v>0</v>
      </c>
    </row>
    <row r="2" spans="1:10" ht="20.25" thickBot="1">
      <c r="B2" s="4" t="s">
        <v>23</v>
      </c>
    </row>
    <row r="3" spans="1:10" ht="13.5" thickTop="1"/>
    <row r="4" spans="1:10" ht="18" thickBot="1">
      <c r="B4" s="2" t="s">
        <v>335</v>
      </c>
      <c r="D4" s="5" t="s">
        <v>53</v>
      </c>
      <c r="E4" s="5"/>
      <c r="F4" s="5"/>
      <c r="G4" s="5"/>
      <c r="H4" s="5"/>
    </row>
    <row r="5" spans="1:10" ht="13.5" thickTop="1"/>
    <row r="6" spans="1:10" ht="15.75" thickBot="1">
      <c r="D6" s="20" t="s">
        <v>336</v>
      </c>
      <c r="F6" s="20" t="s">
        <v>55</v>
      </c>
      <c r="H6" s="20" t="s">
        <v>337</v>
      </c>
      <c r="J6" s="20" t="s">
        <v>338</v>
      </c>
    </row>
    <row r="7" spans="1:10">
      <c r="A7" s="9" t="s">
        <v>656</v>
      </c>
      <c r="B7" s="8" t="s">
        <v>657</v>
      </c>
      <c r="C7" s="8"/>
      <c r="D7" s="8"/>
      <c r="E7" s="8"/>
      <c r="F7" s="8"/>
      <c r="G7" s="8"/>
      <c r="H7" s="8"/>
      <c r="I7" s="8"/>
      <c r="J7" s="8"/>
    </row>
    <row r="8" spans="1:10" ht="25.5">
      <c r="A8" s="3" t="s">
        <v>658</v>
      </c>
      <c r="B8" t="s">
        <v>659</v>
      </c>
      <c r="D8" s="14"/>
      <c r="F8" s="14"/>
      <c r="H8" s="3">
        <v>1</v>
      </c>
      <c r="J8" s="3">
        <v>1</v>
      </c>
    </row>
    <row r="10" spans="1:10">
      <c r="B10" s="21" t="s">
        <v>60</v>
      </c>
    </row>
    <row r="11" spans="1:10" ht="150" customHeight="1">
      <c r="B11" s="57" t="s">
        <v>660</v>
      </c>
      <c r="C11" s="57"/>
      <c r="D11" s="57"/>
      <c r="E11" s="57"/>
      <c r="F11" s="57"/>
    </row>
    <row r="13" spans="1:10" ht="38.25">
      <c r="A13" s="3" t="s">
        <v>661</v>
      </c>
      <c r="B13" t="s">
        <v>662</v>
      </c>
      <c r="D13" s="14"/>
      <c r="F13" s="14"/>
      <c r="H13" s="3">
        <v>1</v>
      </c>
      <c r="J13" s="3">
        <v>1</v>
      </c>
    </row>
    <row r="15" spans="1:10">
      <c r="B15" s="21" t="s">
        <v>60</v>
      </c>
    </row>
    <row r="16" spans="1:10" ht="45" customHeight="1">
      <c r="B16" s="57" t="s">
        <v>663</v>
      </c>
      <c r="C16" s="57"/>
      <c r="D16" s="57"/>
      <c r="E16" s="57"/>
      <c r="F16" s="57"/>
    </row>
    <row r="18" spans="1:10" ht="38.25">
      <c r="A18" s="3" t="s">
        <v>664</v>
      </c>
      <c r="B18" t="s">
        <v>665</v>
      </c>
      <c r="D18" s="14"/>
      <c r="F18" s="14"/>
      <c r="H18" s="3">
        <v>2</v>
      </c>
      <c r="J18" s="3">
        <v>1</v>
      </c>
    </row>
    <row r="20" spans="1:10">
      <c r="B20" s="21" t="s">
        <v>60</v>
      </c>
    </row>
    <row r="21" spans="1:10" ht="135" customHeight="1">
      <c r="B21" s="57" t="s">
        <v>666</v>
      </c>
      <c r="C21" s="57"/>
      <c r="D21" s="57"/>
      <c r="E21" s="57"/>
      <c r="F21" s="57"/>
    </row>
    <row r="23" spans="1:10" ht="25.5">
      <c r="A23" s="3" t="s">
        <v>667</v>
      </c>
      <c r="B23" t="s">
        <v>668</v>
      </c>
      <c r="D23" s="14"/>
      <c r="F23" s="14"/>
      <c r="H23" s="3">
        <v>2</v>
      </c>
      <c r="J23" s="3">
        <v>2</v>
      </c>
    </row>
    <row r="25" spans="1:10">
      <c r="B25" s="21" t="s">
        <v>60</v>
      </c>
    </row>
    <row r="26" spans="1:10" ht="90" customHeight="1">
      <c r="B26" s="57" t="s">
        <v>669</v>
      </c>
      <c r="C26" s="57"/>
      <c r="D26" s="57"/>
      <c r="E26" s="57"/>
      <c r="F26" s="57"/>
    </row>
    <row r="28" spans="1:10">
      <c r="A28" s="3" t="s">
        <v>670</v>
      </c>
      <c r="B28" t="s">
        <v>671</v>
      </c>
      <c r="D28" s="14"/>
      <c r="F28" s="14"/>
      <c r="H28" s="3">
        <v>2</v>
      </c>
      <c r="J28" s="3">
        <v>2</v>
      </c>
    </row>
    <row r="30" spans="1:10">
      <c r="B30" s="21" t="s">
        <v>60</v>
      </c>
    </row>
    <row r="31" spans="1:10" ht="105" customHeight="1">
      <c r="B31" s="57" t="s">
        <v>672</v>
      </c>
      <c r="C31" s="57"/>
      <c r="D31" s="57"/>
      <c r="E31" s="57"/>
      <c r="F31" s="57"/>
    </row>
    <row r="33" spans="1:10" ht="25.5">
      <c r="A33" s="3" t="s">
        <v>673</v>
      </c>
      <c r="B33" t="s">
        <v>674</v>
      </c>
      <c r="D33" s="14"/>
      <c r="F33" s="14"/>
      <c r="H33" s="3">
        <v>2</v>
      </c>
      <c r="J33" s="3">
        <v>2</v>
      </c>
    </row>
    <row r="35" spans="1:10">
      <c r="B35" s="21" t="s">
        <v>60</v>
      </c>
    </row>
    <row r="36" spans="1:10" ht="135" customHeight="1">
      <c r="B36" s="57" t="s">
        <v>675</v>
      </c>
      <c r="C36" s="57"/>
      <c r="D36" s="57"/>
      <c r="E36" s="57"/>
      <c r="F36" s="57"/>
    </row>
    <row r="38" spans="1:10" ht="25.5">
      <c r="A38" s="3" t="s">
        <v>676</v>
      </c>
      <c r="B38" t="s">
        <v>677</v>
      </c>
      <c r="D38" s="14"/>
      <c r="F38" s="14"/>
      <c r="H38" s="3">
        <v>2</v>
      </c>
      <c r="J38" s="3">
        <v>2</v>
      </c>
    </row>
    <row r="40" spans="1:10">
      <c r="B40" s="21" t="s">
        <v>60</v>
      </c>
    </row>
    <row r="41" spans="1:10" ht="45" customHeight="1">
      <c r="B41" s="57" t="s">
        <v>678</v>
      </c>
      <c r="C41" s="57"/>
      <c r="D41" s="57"/>
      <c r="E41" s="57"/>
      <c r="F41" s="57"/>
    </row>
    <row r="43" spans="1:10" ht="25.5">
      <c r="A43" s="3" t="s">
        <v>679</v>
      </c>
      <c r="B43" t="s">
        <v>680</v>
      </c>
      <c r="D43" s="14"/>
      <c r="F43" s="14"/>
      <c r="H43" s="3">
        <v>3</v>
      </c>
      <c r="J43" s="3">
        <v>3</v>
      </c>
    </row>
    <row r="45" spans="1:10">
      <c r="B45" s="21" t="s">
        <v>60</v>
      </c>
    </row>
    <row r="46" spans="1:10" ht="120" customHeight="1">
      <c r="B46" s="57" t="s">
        <v>681</v>
      </c>
      <c r="C46" s="57"/>
      <c r="D46" s="57"/>
      <c r="E46" s="57"/>
      <c r="F46" s="57"/>
    </row>
    <row r="48" spans="1:10" ht="25.5">
      <c r="A48" s="3" t="s">
        <v>682</v>
      </c>
      <c r="B48" t="s">
        <v>683</v>
      </c>
      <c r="D48" s="14"/>
      <c r="F48" s="14"/>
      <c r="H48" s="3">
        <v>3</v>
      </c>
      <c r="J48" s="3">
        <v>3</v>
      </c>
    </row>
    <row r="50" spans="1:10">
      <c r="B50" s="21" t="s">
        <v>60</v>
      </c>
    </row>
    <row r="51" spans="1:10" ht="45" customHeight="1">
      <c r="B51" s="57" t="s">
        <v>684</v>
      </c>
      <c r="C51" s="57"/>
      <c r="D51" s="57"/>
      <c r="E51" s="57"/>
      <c r="F51" s="57"/>
    </row>
    <row r="53" spans="1:10" ht="25.5">
      <c r="A53" s="3" t="s">
        <v>685</v>
      </c>
      <c r="B53" t="s">
        <v>686</v>
      </c>
      <c r="D53" s="14"/>
      <c r="F53" s="14"/>
      <c r="H53" s="3">
        <v>3</v>
      </c>
      <c r="J53" s="3">
        <v>3</v>
      </c>
    </row>
    <row r="55" spans="1:10">
      <c r="B55" s="21" t="s">
        <v>60</v>
      </c>
    </row>
    <row r="56" spans="1:10" ht="180" customHeight="1">
      <c r="B56" s="57" t="s">
        <v>687</v>
      </c>
      <c r="C56" s="57"/>
      <c r="D56" s="57"/>
      <c r="E56" s="57"/>
      <c r="F56" s="57"/>
    </row>
    <row r="58" spans="1:10">
      <c r="A58" s="3" t="s">
        <v>688</v>
      </c>
      <c r="B58" t="s">
        <v>689</v>
      </c>
      <c r="D58" s="14"/>
      <c r="F58" s="14"/>
      <c r="H58" s="3">
        <v>3</v>
      </c>
      <c r="J58" s="3">
        <v>3</v>
      </c>
    </row>
    <row r="60" spans="1:10">
      <c r="B60" s="21" t="s">
        <v>60</v>
      </c>
    </row>
    <row r="61" spans="1:10" ht="120" customHeight="1">
      <c r="B61" s="57" t="s">
        <v>690</v>
      </c>
      <c r="C61" s="57"/>
      <c r="D61" s="57"/>
      <c r="E61" s="57"/>
      <c r="F61" s="57"/>
    </row>
    <row r="63" spans="1:10" ht="25.5">
      <c r="A63" s="3" t="s">
        <v>691</v>
      </c>
      <c r="B63" t="s">
        <v>692</v>
      </c>
      <c r="D63" s="14"/>
      <c r="F63" s="14"/>
      <c r="H63" s="3">
        <v>3</v>
      </c>
      <c r="J63" s="3">
        <v>3</v>
      </c>
    </row>
    <row r="65" spans="2:6">
      <c r="B65" s="21" t="s">
        <v>60</v>
      </c>
    </row>
    <row r="66" spans="2:6" ht="90" customHeight="1">
      <c r="B66" s="57" t="s">
        <v>693</v>
      </c>
      <c r="C66" s="57"/>
      <c r="D66" s="57"/>
      <c r="E66" s="57"/>
      <c r="F66" s="57"/>
    </row>
    <row r="67" spans="2:6">
      <c r="F67" s="10" t="s">
        <v>150</v>
      </c>
    </row>
  </sheetData>
  <sheetProtection algorithmName="SHA-1" hashValue="agDE6HFR3jeWv5SUDylVidZZiuw=" saltValue="+d+aVc7KpHyCR7D43GFdbA==" spinCount="100000" sheet="1" objects="1" scenarios="1"/>
  <mergeCells count="12">
    <mergeCell ref="B11:F11"/>
    <mergeCell ref="B66:F66"/>
    <mergeCell ref="B61:F61"/>
    <mergeCell ref="B56:F56"/>
    <mergeCell ref="B51:F51"/>
    <mergeCell ref="B46:F46"/>
    <mergeCell ref="B41:F41"/>
    <mergeCell ref="B36:F36"/>
    <mergeCell ref="B31:F31"/>
    <mergeCell ref="B26:F26"/>
    <mergeCell ref="B21:F21"/>
    <mergeCell ref="B16:F16"/>
  </mergeCells>
  <dataValidations count="2">
    <dataValidation type="list" allowBlank="1" showInputMessage="1" showErrorMessage="1" sqref="D13 D8" xr:uid="{88A0D132-FF01-E943-874D-3ABD625CD169}">
      <formula1>Response_MIL1</formula1>
    </dataValidation>
    <dataValidation type="list" allowBlank="1" showInputMessage="1" showErrorMessage="1" sqref="D18 D23 D28 D33 D38 D43 D48 D53 D58 D63" xr:uid="{C5992DC7-2E30-4542-A653-EDEBE6D19E7C}">
      <formula1>Response_MIL23</formula1>
    </dataValidation>
  </dataValidations>
  <hyperlinks>
    <hyperlink ref="A1" location="Home!G14" tooltip="Click here to return Home" display="Home" xr:uid="{4F576EC3-9B6C-0142-A8AA-7F428E1BBF2B}"/>
    <hyperlink ref="F67" location="ISC!D12" tooltip="Go to Top" display="Go to Top" xr:uid="{C5B7BE15-DAB9-C345-B9C5-E6D4DC1E9D11}"/>
  </hyperlinks>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fc36bc6de0bf403e9ed4dec84c72e21e xmlns="5d1a2284-45bc-4927-a9f9-e51f9f17c21a">
      <Terms xmlns="http://schemas.microsoft.com/office/infopath/2007/PartnerControls"/>
    </fc36bc6de0bf403e9ed4dec84c72e21e>
    <TaxCatchAll xmlns="5d1a2284-45bc-4927-a9f9-e51f9f17c21a" xsi:nil="true"/>
    <TaxKeywordTaxHTField xmlns="5d1a2284-45bc-4927-a9f9-e51f9f17c21a">
      <Terms xmlns="http://schemas.microsoft.com/office/infopath/2007/PartnerControls"/>
    </TaxKeywordTaxHTField>
  </documentManagement>
</p:properties>
</file>

<file path=customXml/item3.xml><?xml version="1.0" encoding="utf-8"?>
<ct:contentTypeSchema xmlns:ct="http://schemas.microsoft.com/office/2006/metadata/contentType" xmlns:ma="http://schemas.microsoft.com/office/2006/metadata/properties/metaAttributes" ct:_="" ma:_="" ma:contentTypeName="AEMO Collaboration Document" ma:contentTypeID="0x0101002F0B48F8F4F7904196E710056827A09600AB496C07C6DC2B47A6D2CACF4D6EF343" ma:contentTypeVersion="4" ma:contentTypeDescription="" ma:contentTypeScope="" ma:versionID="9d39bc01c8ef4b2889245f82376f8600">
  <xsd:schema xmlns:xsd="http://www.w3.org/2001/XMLSchema" xmlns:xs="http://www.w3.org/2001/XMLSchema" xmlns:p="http://schemas.microsoft.com/office/2006/metadata/properties" xmlns:ns2="5d1a2284-45bc-4927-a9f9-e51f9f17c21a" targetNamespace="http://schemas.microsoft.com/office/2006/metadata/properties" ma:root="true" ma:fieldsID="65f6aa6c50987da956907a34b63ee7d6" ns2:_="">
    <xsd:import namespace="5d1a2284-45bc-4927-a9f9-e51f9f17c21a"/>
    <xsd:element name="properties">
      <xsd:complexType>
        <xsd:sequence>
          <xsd:element name="documentManagement">
            <xsd:complexType>
              <xsd:all>
                <xsd:element ref="ns2:TaxCatchAll" minOccurs="0"/>
                <xsd:element ref="ns2:TaxCatchAllLabel" minOccurs="0"/>
                <xsd:element ref="ns2:TaxKeywordTaxHTField" minOccurs="0"/>
                <xsd:element ref="ns2:fc36bc6de0bf403e9ed4dec84c72e21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a2284-45bc-4927-a9f9-e51f9f17c21a"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845b4639-8792-484a-860f-e31ac5897b8c}" ma:internalName="TaxCatchAll" ma:showField="CatchAllData" ma:web="4e48a0ef-5d77-453f-8343-f89e8361192c">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845b4639-8792-484a-860f-e31ac5897b8c}" ma:internalName="TaxCatchAllLabel" ma:readOnly="true" ma:showField="CatchAllDataLabel" ma:web="4e48a0ef-5d77-453f-8343-f89e8361192c">
      <xsd:complexType>
        <xsd:complexContent>
          <xsd:extension base="dms:MultiChoiceLookup">
            <xsd:sequence>
              <xsd:element name="Value" type="dms:Lookup" maxOccurs="unbounded" minOccurs="0" nillable="true"/>
            </xsd:sequence>
          </xsd:extension>
        </xsd:complexContent>
      </xsd:complexType>
    </xsd:element>
    <xsd:element name="TaxKeywordTaxHTField" ma:index="10"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fc36bc6de0bf403e9ed4dec84c72e21e" ma:index="12" nillable="true" ma:taxonomy="true" ma:internalName="fc36bc6de0bf403e9ed4dec84c72e21e" ma:taxonomyFieldName="AEMO_x0020_Collaboration_x0020_Document_x0020_Type" ma:displayName="AEMO Collaboration Document Type" ma:default="" ma:fieldId="{fc36bc6d-e0bf-403e-9ed4-dec84c72e21e}" ma:sspId="3e8ba7a3-af95-40f6-9ded-4ebe13adeb29" ma:termSetId="559df48e-15e2-45fa-a2d5-de60d483ab8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3e8ba7a3-af95-40f6-9ded-4ebe13adeb29" ContentTypeId="0x0101002F0B48F8F4F7904196E710056827A096" PreviousValue="false" LastSyncTimeStamp="2022-01-31T11:36:03.467Z"/>
</file>

<file path=customXml/itemProps1.xml><?xml version="1.0" encoding="utf-8"?>
<ds:datastoreItem xmlns:ds="http://schemas.openxmlformats.org/officeDocument/2006/customXml" ds:itemID="{672F2672-8EE1-488D-910C-8E53D8EEDB1C}"/>
</file>

<file path=customXml/itemProps2.xml><?xml version="1.0" encoding="utf-8"?>
<ds:datastoreItem xmlns:ds="http://schemas.openxmlformats.org/officeDocument/2006/customXml" ds:itemID="{CF13E72E-105C-4230-B2D9-C2E74E956131}"/>
</file>

<file path=customXml/itemProps3.xml><?xml version="1.0" encoding="utf-8"?>
<ds:datastoreItem xmlns:ds="http://schemas.openxmlformats.org/officeDocument/2006/customXml" ds:itemID="{9EB3C101-889A-4E2E-A0C6-94587EFD9A2D}"/>
</file>

<file path=customXml/itemProps4.xml><?xml version="1.0" encoding="utf-8"?>
<ds:datastoreItem xmlns:ds="http://schemas.openxmlformats.org/officeDocument/2006/customXml" ds:itemID="{6DDF81C2-76C2-48FB-9E90-C31E767DC8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2022-10-19T13:57:15Z</dcterms:created>
  <dcterms:modified xsi:type="dcterms:W3CDTF">2023-11-26T23:25:54Z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0x0101002F0B48F8F4F7904196E710056827A09600AB496C07C6DC2B47A6D2CACF4D6EF343</vt:lpwstr>
  </property>
  <property fmtid="{D5CDD505-2E9C-101B-9397-08002B2CF9AE}" pid="3" name="TaxKeyword">
    <vt:lpwstr/>
  </property>
  <property fmtid="{D5CDD505-2E9C-101B-9397-08002B2CF9AE}" pid="4" name="AEMO Collaboration Document Type">
    <vt:lpwstr/>
  </property>
  <property fmtid="{D5CDD505-2E9C-101B-9397-08002B2CF9AE}" pid="5" name="MediaServiceImageTags">
    <vt:lpwstr/>
  </property>
  <property fmtid="{D5CDD505-2E9C-101B-9397-08002B2CF9AE}" pid="6" name="lcf76f155ced4ddcb4097134ff3c332f">
    <vt:lpwstr/>
  </property>
  <property fmtid="{D5CDD505-2E9C-101B-9397-08002B2CF9AE}" pid="7" name="MSIP_Label_c1941c47-a837-430d-8559-fd118a72769e_Enabled">
    <vt:lpwstr>true</vt:lpwstr>
  </property>
  <property fmtid="{D5CDD505-2E9C-101B-9397-08002B2CF9AE}" pid="8" name="MSIP_Label_c1941c47-a837-430d-8559-fd118a72769e_SetDate">
    <vt:lpwstr>2023-10-11T01:19:25Z</vt:lpwstr>
  </property>
  <property fmtid="{D5CDD505-2E9C-101B-9397-08002B2CF9AE}" pid="9" name="MSIP_Label_c1941c47-a837-430d-8559-fd118a72769e_Method">
    <vt:lpwstr>Standard</vt:lpwstr>
  </property>
  <property fmtid="{D5CDD505-2E9C-101B-9397-08002B2CF9AE}" pid="10" name="MSIP_Label_c1941c47-a837-430d-8559-fd118a72769e_Name">
    <vt:lpwstr>Internal</vt:lpwstr>
  </property>
  <property fmtid="{D5CDD505-2E9C-101B-9397-08002B2CF9AE}" pid="11" name="MSIP_Label_c1941c47-a837-430d-8559-fd118a72769e_SiteId">
    <vt:lpwstr>320c999e-3876-4ad0-b401-d241068e9e60</vt:lpwstr>
  </property>
  <property fmtid="{D5CDD505-2E9C-101B-9397-08002B2CF9AE}" pid="12" name="MSIP_Label_c1941c47-a837-430d-8559-fd118a72769e_ActionId">
    <vt:lpwstr>2559b1f4-a2da-4163-b241-73451e1ead87</vt:lpwstr>
  </property>
  <property fmtid="{D5CDD505-2E9C-101B-9397-08002B2CF9AE}" pid="13" name="MSIP_Label_c1941c47-a837-430d-8559-fd118a72769e_ContentBits">
    <vt:lpwstr>0</vt:lpwstr>
  </property>
</Properties>
</file>