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comments3.xml" ContentType="application/vnd.openxmlformats-officedocument.spreadsheetml.comment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Griffiths\Desktop\final 2020 BRCP\"/>
    </mc:Choice>
  </mc:AlternateContent>
  <xr:revisionPtr revIDLastSave="0" documentId="13_ncr:1_{CD1438A2-7ED9-4667-BB90-51948CDCE13C}" xr6:coauthVersionLast="41" xr6:coauthVersionMax="41" xr10:uidLastSave="{00000000-0000-0000-0000-000000000000}"/>
  <workbookProtection workbookAlgorithmName="SHA-512" workbookHashValue="c1oX1M8ttWeV5Z/kgVN8aaLBsQ0w7ZzL+G6KLjjMZ6nucrZh7ld1adhPm6veYCjIfXsn9RwxAySYZZ7o0or+Hw==" workbookSaltValue="sxjcBGjSOfhe3qKlIZfkhQ==" workbookSpinCount="100000" lockStructure="1"/>
  <bookViews>
    <workbookView xWindow="-28920" yWindow="1935" windowWidth="29040" windowHeight="15990" tabRatio="890" activeTab="1" xr2:uid="{00000000-000D-0000-FFFF-FFFF00000000}"/>
  </bookViews>
  <sheets>
    <sheet name="README" sheetId="15" r:id="rId1"/>
    <sheet name="BRCP_Calculation" sheetId="1" r:id="rId2"/>
    <sheet name="ANNUALISED_CAP_COST" sheetId="3" r:id="rId3"/>
    <sheet name="ANNUALISED_FIXED_O&amp;M" sheetId="2" r:id="rId4"/>
    <sheet name="WACC" sheetId="4" r:id="rId5"/>
    <sheet name="PC" sheetId="5" r:id="rId6"/>
    <sheet name="M" sheetId="6" r:id="rId7"/>
    <sheet name="TC" sheetId="7" r:id="rId8"/>
    <sheet name="LC" sheetId="9" r:id="rId9"/>
    <sheet name="FFC" sheetId="8" r:id="rId10"/>
    <sheet name="ESCALATION_FACTORS" sheetId="12" r:id="rId11"/>
  </sheets>
  <definedNames>
    <definedName name="_xlnm.Print_Area" localSheetId="3">'ANNUALISED_FIXED_O&amp;M'!$A$1:$X$152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4" l="1"/>
  <c r="C6" i="4"/>
  <c r="B18" i="4" l="1"/>
  <c r="B109" i="2" l="1"/>
  <c r="B3" i="6"/>
  <c r="E12" i="9" l="1"/>
  <c r="C113" i="2" l="1"/>
  <c r="E8" i="9" l="1"/>
  <c r="E11" i="9"/>
  <c r="E18" i="9"/>
  <c r="C14" i="5" l="1"/>
  <c r="C13" i="5"/>
  <c r="C12" i="5"/>
  <c r="C29" i="2" l="1"/>
  <c r="C30" i="2"/>
  <c r="C31" i="2"/>
  <c r="C32" i="2"/>
  <c r="B16" i="1" l="1"/>
  <c r="D6" i="4" l="1"/>
  <c r="M87" i="2"/>
  <c r="N87" i="2" s="1"/>
  <c r="B9" i="3"/>
  <c r="E6" i="9"/>
  <c r="E7" i="9"/>
  <c r="E9" i="9"/>
  <c r="E10" i="9"/>
  <c r="E5" i="9"/>
  <c r="H87" i="2"/>
  <c r="I87" i="2" s="1"/>
  <c r="J87" i="2" s="1"/>
  <c r="M53" i="2"/>
  <c r="N53" i="2" s="1"/>
  <c r="H53" i="2"/>
  <c r="I53" i="2" s="1"/>
  <c r="H19" i="2"/>
  <c r="I19" i="2" s="1"/>
  <c r="D17" i="2"/>
  <c r="E17" i="2" s="1"/>
  <c r="F17" i="2" s="1"/>
  <c r="G17" i="2" s="1"/>
  <c r="H17" i="2" s="1"/>
  <c r="I17" i="2" s="1"/>
  <c r="J17" i="2" s="1"/>
  <c r="K17" i="2" s="1"/>
  <c r="L17" i="2" s="1"/>
  <c r="M17" i="2" s="1"/>
  <c r="N17" i="2" s="1"/>
  <c r="O17" i="2" s="1"/>
  <c r="P17" i="2" s="1"/>
  <c r="Q17" i="2" s="1"/>
  <c r="D18" i="9"/>
  <c r="D19" i="9"/>
  <c r="E19" i="9"/>
  <c r="D20" i="9"/>
  <c r="E20" i="9"/>
  <c r="C8" i="8"/>
  <c r="B14" i="8"/>
  <c r="C14" i="8"/>
  <c r="B15" i="8"/>
  <c r="C15" i="8"/>
  <c r="B16" i="8"/>
  <c r="C16" i="8"/>
  <c r="B9" i="7"/>
  <c r="B11" i="7" s="1"/>
  <c r="B12" i="3" s="1"/>
  <c r="C6" i="5"/>
  <c r="B12" i="5"/>
  <c r="B13" i="5"/>
  <c r="B14" i="5"/>
  <c r="D5" i="4"/>
  <c r="D7" i="4"/>
  <c r="D8" i="4"/>
  <c r="D9" i="4"/>
  <c r="D10" i="4"/>
  <c r="B17" i="4" s="1"/>
  <c r="B20" i="4" s="1"/>
  <c r="D11" i="4"/>
  <c r="D12" i="4"/>
  <c r="D13" i="4"/>
  <c r="D14" i="4"/>
  <c r="D15" i="4"/>
  <c r="D18" i="2"/>
  <c r="E18" i="2" s="1"/>
  <c r="F18" i="2" s="1"/>
  <c r="G18" i="2" s="1"/>
  <c r="H18" i="2" s="1"/>
  <c r="I18" i="2" s="1"/>
  <c r="J18" i="2" s="1"/>
  <c r="K18" i="2" s="1"/>
  <c r="L18" i="2" s="1"/>
  <c r="M18" i="2" s="1"/>
  <c r="N18" i="2" s="1"/>
  <c r="O18" i="2" s="1"/>
  <c r="P18" i="2" s="1"/>
  <c r="Q18" i="2" s="1"/>
  <c r="C19" i="2"/>
  <c r="D19" i="2" s="1"/>
  <c r="M19" i="2"/>
  <c r="B29" i="2"/>
  <c r="B30" i="2"/>
  <c r="B31" i="2"/>
  <c r="B32" i="2"/>
  <c r="D51" i="2"/>
  <c r="E51" i="2" s="1"/>
  <c r="F51" i="2" s="1"/>
  <c r="G51" i="2" s="1"/>
  <c r="H51" i="2" s="1"/>
  <c r="I51" i="2" s="1"/>
  <c r="J51" i="2" s="1"/>
  <c r="K51" i="2" s="1"/>
  <c r="L51" i="2" s="1"/>
  <c r="M51" i="2" s="1"/>
  <c r="N51" i="2" s="1"/>
  <c r="O51" i="2" s="1"/>
  <c r="P51" i="2" s="1"/>
  <c r="Q51" i="2" s="1"/>
  <c r="D52" i="2"/>
  <c r="E52" i="2"/>
  <c r="F52" i="2" s="1"/>
  <c r="G52" i="2" s="1"/>
  <c r="H52" i="2" s="1"/>
  <c r="I52" i="2" s="1"/>
  <c r="J52" i="2" s="1"/>
  <c r="K52" i="2" s="1"/>
  <c r="L52" i="2" s="1"/>
  <c r="M52" i="2" s="1"/>
  <c r="N52" i="2" s="1"/>
  <c r="O52" i="2" s="1"/>
  <c r="P52" i="2" s="1"/>
  <c r="Q52" i="2" s="1"/>
  <c r="C53" i="2"/>
  <c r="B63" i="2"/>
  <c r="C63" i="2"/>
  <c r="B64" i="2"/>
  <c r="C64" i="2"/>
  <c r="B65" i="2"/>
  <c r="C65" i="2"/>
  <c r="B66" i="2"/>
  <c r="C66" i="2"/>
  <c r="D85" i="2"/>
  <c r="E85" i="2" s="1"/>
  <c r="F85" i="2" s="1"/>
  <c r="G85" i="2" s="1"/>
  <c r="H85" i="2" s="1"/>
  <c r="I85" i="2" s="1"/>
  <c r="J85" i="2" s="1"/>
  <c r="K85" i="2" s="1"/>
  <c r="L85" i="2" s="1"/>
  <c r="M85" i="2" s="1"/>
  <c r="N85" i="2" s="1"/>
  <c r="O85" i="2" s="1"/>
  <c r="P85" i="2" s="1"/>
  <c r="Q85" i="2" s="1"/>
  <c r="D86" i="2"/>
  <c r="E86" i="2"/>
  <c r="F86" i="2"/>
  <c r="G86" i="2" s="1"/>
  <c r="H86" i="2" s="1"/>
  <c r="C87" i="2"/>
  <c r="C88" i="2" s="1"/>
  <c r="B97" i="2"/>
  <c r="C97" i="2"/>
  <c r="B98" i="2"/>
  <c r="C98" i="2"/>
  <c r="B99" i="2"/>
  <c r="C99" i="2"/>
  <c r="B100" i="2"/>
  <c r="C100" i="2"/>
  <c r="B122" i="2"/>
  <c r="C122" i="2"/>
  <c r="B123" i="2"/>
  <c r="C123" i="2"/>
  <c r="B124" i="2"/>
  <c r="C124" i="2"/>
  <c r="B125" i="2"/>
  <c r="C125" i="2"/>
  <c r="C133" i="2"/>
  <c r="C134" i="2"/>
  <c r="C135" i="2"/>
  <c r="B141" i="2"/>
  <c r="C141" i="2"/>
  <c r="B142" i="2"/>
  <c r="C142" i="2"/>
  <c r="B143" i="2"/>
  <c r="C143" i="2"/>
  <c r="B144" i="2"/>
  <c r="C144" i="2"/>
  <c r="B6" i="3"/>
  <c r="B21" i="4" l="1"/>
  <c r="B26" i="3"/>
  <c r="B21" i="3"/>
  <c r="C115" i="2"/>
  <c r="D87" i="2"/>
  <c r="D88" i="2" s="1"/>
  <c r="E19" i="2"/>
  <c r="D20" i="2"/>
  <c r="I86" i="2"/>
  <c r="J86" i="2" s="1"/>
  <c r="K86" i="2" s="1"/>
  <c r="L86" i="2" s="1"/>
  <c r="M86" i="2" s="1"/>
  <c r="N86" i="2" s="1"/>
  <c r="O86" i="2" s="1"/>
  <c r="P86" i="2" s="1"/>
  <c r="Q86" i="2" s="1"/>
  <c r="H88" i="2"/>
  <c r="C20" i="2"/>
  <c r="D53" i="2"/>
  <c r="D54" i="2" s="1"/>
  <c r="C54" i="2"/>
  <c r="M20" i="2"/>
  <c r="H20" i="2"/>
  <c r="B29" i="9"/>
  <c r="I20" i="2"/>
  <c r="M88" i="2"/>
  <c r="N54" i="2"/>
  <c r="O53" i="2"/>
  <c r="P53" i="2" s="1"/>
  <c r="P54" i="2" s="1"/>
  <c r="M54" i="2"/>
  <c r="J53" i="2"/>
  <c r="J54" i="2" s="1"/>
  <c r="I54" i="2"/>
  <c r="H54" i="2"/>
  <c r="N19" i="2"/>
  <c r="J19" i="2"/>
  <c r="C136" i="2"/>
  <c r="C146" i="2" s="1"/>
  <c r="C16" i="5"/>
  <c r="C18" i="8"/>
  <c r="B15" i="3" s="1"/>
  <c r="J88" i="2"/>
  <c r="K87" i="2"/>
  <c r="N88" i="2"/>
  <c r="O87" i="2"/>
  <c r="I88" i="2"/>
  <c r="E87" i="2"/>
  <c r="E88" i="2" s="1"/>
  <c r="Q53" i="2"/>
  <c r="Q54" i="2" s="1"/>
  <c r="O54" i="2"/>
  <c r="B3" i="3" l="1"/>
  <c r="B106" i="2"/>
  <c r="E53" i="2"/>
  <c r="B30" i="9"/>
  <c r="B31" i="9" s="1"/>
  <c r="K53" i="2"/>
  <c r="K54" i="2" s="1"/>
  <c r="E20" i="2"/>
  <c r="F19" i="2"/>
  <c r="O19" i="2"/>
  <c r="N20" i="2"/>
  <c r="K19" i="2"/>
  <c r="J20" i="2"/>
  <c r="B107" i="2"/>
  <c r="C111" i="2" s="1"/>
  <c r="C116" i="2" s="1"/>
  <c r="C127" i="2" s="1"/>
  <c r="E22" i="9"/>
  <c r="B18" i="3" s="1"/>
  <c r="B24" i="3" s="1"/>
  <c r="B28" i="3" s="1"/>
  <c r="O88" i="2"/>
  <c r="P87" i="2"/>
  <c r="L87" i="2"/>
  <c r="L88" i="2" s="1"/>
  <c r="K88" i="2"/>
  <c r="F87" i="2"/>
  <c r="L53" i="2"/>
  <c r="L54" i="2" s="1"/>
  <c r="E54" i="2"/>
  <c r="F53" i="2"/>
  <c r="B13" i="1" l="1"/>
  <c r="C21" i="2"/>
  <c r="C22" i="2" s="1"/>
  <c r="C89" i="2"/>
  <c r="C90" i="2" s="1"/>
  <c r="C55" i="2"/>
  <c r="D55" i="2" s="1"/>
  <c r="E55" i="2" s="1"/>
  <c r="B32" i="9"/>
  <c r="F20" i="2"/>
  <c r="G19" i="2"/>
  <c r="G20" i="2" s="1"/>
  <c r="P19" i="2"/>
  <c r="O20" i="2"/>
  <c r="K20" i="2"/>
  <c r="L19" i="2"/>
  <c r="L20" i="2" s="1"/>
  <c r="P88" i="2"/>
  <c r="Q87" i="2"/>
  <c r="Q88" i="2" s="1"/>
  <c r="F88" i="2"/>
  <c r="G87" i="2"/>
  <c r="G88" i="2" s="1"/>
  <c r="G53" i="2"/>
  <c r="G54" i="2" s="1"/>
  <c r="F54" i="2"/>
  <c r="D89" i="2" l="1"/>
  <c r="D90" i="2" s="1"/>
  <c r="D21" i="2"/>
  <c r="D22" i="2" s="1"/>
  <c r="D56" i="2"/>
  <c r="C56" i="2"/>
  <c r="P20" i="2"/>
  <c r="Q19" i="2"/>
  <c r="Q20" i="2" s="1"/>
  <c r="F55" i="2"/>
  <c r="E56" i="2"/>
  <c r="E89" i="2" l="1"/>
  <c r="E90" i="2" s="1"/>
  <c r="E21" i="2"/>
  <c r="F21" i="2" s="1"/>
  <c r="F22" i="2" s="1"/>
  <c r="F89" i="2"/>
  <c r="G89" i="2" s="1"/>
  <c r="F56" i="2"/>
  <c r="G55" i="2"/>
  <c r="G21" i="2" l="1"/>
  <c r="E22" i="2"/>
  <c r="F90" i="2"/>
  <c r="H89" i="2"/>
  <c r="G90" i="2"/>
  <c r="G56" i="2"/>
  <c r="H55" i="2"/>
  <c r="H21" i="2"/>
  <c r="G22" i="2"/>
  <c r="H22" i="2" l="1"/>
  <c r="I21" i="2"/>
  <c r="I55" i="2"/>
  <c r="H56" i="2"/>
  <c r="H90" i="2"/>
  <c r="I89" i="2"/>
  <c r="J21" i="2" l="1"/>
  <c r="I22" i="2"/>
  <c r="I90" i="2"/>
  <c r="J89" i="2"/>
  <c r="J55" i="2"/>
  <c r="I56" i="2"/>
  <c r="K89" i="2" l="1"/>
  <c r="J90" i="2"/>
  <c r="K55" i="2"/>
  <c r="J56" i="2"/>
  <c r="J22" i="2"/>
  <c r="K21" i="2"/>
  <c r="L21" i="2" l="1"/>
  <c r="K22" i="2"/>
  <c r="L55" i="2"/>
  <c r="K56" i="2"/>
  <c r="L89" i="2"/>
  <c r="K90" i="2"/>
  <c r="M55" i="2" l="1"/>
  <c r="L56" i="2"/>
  <c r="M89" i="2"/>
  <c r="L90" i="2"/>
  <c r="M21" i="2"/>
  <c r="L22" i="2"/>
  <c r="M90" i="2" l="1"/>
  <c r="N89" i="2"/>
  <c r="M22" i="2"/>
  <c r="N21" i="2"/>
  <c r="N55" i="2"/>
  <c r="M56" i="2"/>
  <c r="O55" i="2" l="1"/>
  <c r="N56" i="2"/>
  <c r="N22" i="2"/>
  <c r="O21" i="2"/>
  <c r="N90" i="2"/>
  <c r="O89" i="2"/>
  <c r="O56" i="2" l="1"/>
  <c r="P55" i="2"/>
  <c r="P21" i="2"/>
  <c r="O22" i="2"/>
  <c r="O90" i="2"/>
  <c r="P89" i="2"/>
  <c r="P22" i="2" l="1"/>
  <c r="Q21" i="2"/>
  <c r="Q22" i="2" s="1"/>
  <c r="P90" i="2"/>
  <c r="Q89" i="2"/>
  <c r="Q90" i="2" s="1"/>
  <c r="Q55" i="2"/>
  <c r="Q56" i="2" s="1"/>
  <c r="P56" i="2"/>
  <c r="C91" i="2" l="1"/>
  <c r="C57" i="2"/>
  <c r="C58" i="2" s="1"/>
  <c r="C68" i="2" s="1"/>
  <c r="C23" i="2"/>
  <c r="C24" i="2" s="1"/>
  <c r="C34" i="2" s="1"/>
  <c r="C92" i="2" l="1"/>
  <c r="C102" i="2" s="1"/>
  <c r="C149" i="2" s="1"/>
  <c r="B10" i="1" s="1"/>
  <c r="B3" i="1" l="1"/>
  <c r="D112" i="2" s="1"/>
  <c r="E11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30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MT :</t>
        </r>
        <r>
          <rPr>
            <sz val="8"/>
            <color indexed="81"/>
            <rFont val="Tahoma"/>
            <family val="2"/>
          </rPr>
          <t xml:space="preserve">
PMT= calculate payment for a loan with constant payments and interest rate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Luke Dowling</author>
    <author>Katelyn Rigden</author>
    <author>Trevor Griffiths</author>
    <author>Neetika Kapani</author>
  </authors>
  <commentList>
    <comment ref="B10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Trevor Griffiths:</t>
        </r>
        <r>
          <rPr>
            <sz val="9"/>
            <color indexed="81"/>
            <rFont val="Tahoma"/>
            <family val="2"/>
          </rPr>
          <t xml:space="preserve">
Costs escalated to 1/04/2022</t>
        </r>
      </text>
    </comment>
    <comment ref="B110" authorId="1" shapeId="0" xr:uid="{00000000-0006-0000-0300-000004000000}">
      <text>
        <r>
          <rPr>
            <sz val="9"/>
            <color indexed="81"/>
            <rFont val="Tahoma"/>
            <family val="2"/>
          </rPr>
          <t xml:space="preserve">https://www.finance.wa.gov.au/cms/State_Revenue/Duties/Insurance_Duty.aspx </t>
        </r>
      </text>
    </comment>
    <comment ref="B114" authorId="2" shapeId="0" xr:uid="{ED977629-5F9B-458E-BC78-660A5D0A5A51}">
      <text>
        <r>
          <rPr>
            <b/>
            <sz val="9"/>
            <color indexed="81"/>
            <rFont val="Tahoma"/>
            <family val="2"/>
          </rPr>
          <t>Trevor Griffiths:</t>
        </r>
        <r>
          <rPr>
            <sz val="9"/>
            <color indexed="81"/>
            <rFont val="Tahoma"/>
            <family val="2"/>
          </rPr>
          <t xml:space="preserve">
Includes stamp duty</t>
        </r>
      </text>
    </comment>
    <comment ref="B115" authorId="3" shapeId="0" xr:uid="{35E64910-7971-4A4C-942D-7FAE9042A276}">
      <text>
        <r>
          <rPr>
            <sz val="9"/>
            <color indexed="81"/>
            <rFont val="Tahoma"/>
            <family val="2"/>
          </rPr>
          <t>Received advice that 20000 was an appropriate figure for 2019.</t>
        </r>
      </text>
    </comment>
    <comment ref="B133" authorId="3" shapeId="0" xr:uid="{00000000-0006-0000-0300-000007000000}">
      <text>
        <r>
          <rPr>
            <sz val="9"/>
            <color indexed="81"/>
            <rFont val="Tahoma"/>
            <family val="2"/>
          </rPr>
          <t>WP price list 2019-20 section 8.3.3 Control system services Table 29</t>
        </r>
      </text>
    </comment>
    <comment ref="B134" authorId="3" shapeId="0" xr:uid="{00000000-0006-0000-0300-000008000000}">
      <text>
        <r>
          <rPr>
            <sz val="9"/>
            <color indexed="81"/>
            <rFont val="Tahoma"/>
            <family val="2"/>
          </rPr>
          <t>WP price list 2019-20 metering prices table 21</t>
        </r>
      </text>
    </comment>
    <comment ref="B135" authorId="3" shapeId="0" xr:uid="{00000000-0006-0000-0300-000009000000}">
      <text>
        <r>
          <rPr>
            <sz val="9"/>
            <color indexed="81"/>
            <rFont val="Tahoma"/>
            <family val="2"/>
          </rPr>
          <t>WP price access Table 25 - Muja PWS highest price of power stations located in the regions listed in the  Market Procedure.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Neetika Kapani</author>
    <author>Ross Stottelaar</author>
  </authors>
  <commentList>
    <comment ref="C3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Neetika Kapani:</t>
        </r>
        <r>
          <rPr>
            <sz val="9"/>
            <color indexed="81"/>
            <rFont val="Tahoma"/>
            <family val="2"/>
          </rPr>
          <t xml:space="preserve">
Based on Landgate report</t>
        </r>
      </text>
    </comment>
    <comment ref="D3" authorId="1" shapeId="0" xr:uid="{00000000-0006-0000-0900-000002000000}">
      <text>
        <r>
          <rPr>
            <sz val="9"/>
            <color indexed="81"/>
            <rFont val="Tahoma"/>
            <family val="2"/>
          </rPr>
          <t xml:space="preserve">Use Transfer duty Calculator
</t>
        </r>
        <r>
          <rPr>
            <b/>
            <sz val="9"/>
            <color indexed="81"/>
            <rFont val="Tahoma"/>
            <family val="2"/>
          </rPr>
          <t>Rate Type</t>
        </r>
        <r>
          <rPr>
            <sz val="9"/>
            <color indexed="81"/>
            <rFont val="Tahoma"/>
            <family val="2"/>
          </rPr>
          <t>: General Rate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0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Neetika Kapani:</t>
        </r>
        <r>
          <rPr>
            <sz val="9"/>
            <color indexed="81"/>
            <rFont val="Tahoma"/>
            <family val="2"/>
          </rPr>
          <t xml:space="preserve">
Divides average land parcel size by 3 hectares to give an average price per hectare</t>
        </r>
      </text>
    </comment>
    <comment ref="B31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Neetika Kapani:</t>
        </r>
        <r>
          <rPr>
            <sz val="9"/>
            <color indexed="81"/>
            <rFont val="Tahoma"/>
            <family val="2"/>
          </rPr>
          <t xml:space="preserve">
Multiplies average price per hectare by 12 hectares (area of easement) and 50% (assumes that easement cost is 50% of purchase cost of land)</t>
        </r>
      </text>
    </comment>
  </commentList>
</comments>
</file>

<file path=xl/sharedStrings.xml><?xml version="1.0" encoding="utf-8"?>
<sst xmlns="http://schemas.openxmlformats.org/spreadsheetml/2006/main" count="283" uniqueCount="170">
  <si>
    <t>Where</t>
  </si>
  <si>
    <t>Weighted Average Cost of Capital (WACC)</t>
  </si>
  <si>
    <t>CAPM Parameter</t>
  </si>
  <si>
    <t>Value</t>
  </si>
  <si>
    <t>Expected Inflation (%)</t>
  </si>
  <si>
    <t>Real risk free rate of return (%)</t>
  </si>
  <si>
    <t>Asset beta</t>
  </si>
  <si>
    <t>Equity beta</t>
  </si>
  <si>
    <t>Corporate tax rate (%)</t>
  </si>
  <si>
    <t>Debt to total assets ratio (%)</t>
  </si>
  <si>
    <t>Equity to total assets ratio (%)</t>
  </si>
  <si>
    <t>Nominal Risk Free Rate of Return (%)</t>
  </si>
  <si>
    <t>Market Risk Premium (%)</t>
  </si>
  <si>
    <t>Franking credit value</t>
  </si>
  <si>
    <t>WACC</t>
  </si>
  <si>
    <t>Term of Finance (Years)</t>
  </si>
  <si>
    <t>M</t>
  </si>
  <si>
    <t>%</t>
  </si>
  <si>
    <t>MW</t>
  </si>
  <si>
    <t>Years</t>
  </si>
  <si>
    <t>Value (For Calculation)</t>
  </si>
  <si>
    <t>$AUD/MW</t>
  </si>
  <si>
    <t>$AUD</t>
  </si>
  <si>
    <t>$AUD/Year</t>
  </si>
  <si>
    <t>$AUD/MW/Year</t>
  </si>
  <si>
    <t>Nominal post-tax Cost of Equity (Nominal return on equity)</t>
  </si>
  <si>
    <t>Nominal pre-tax Cost of Debt (Nominal return on debt)</t>
  </si>
  <si>
    <t>WACC (Real)</t>
  </si>
  <si>
    <t>WACC (Nominal)</t>
  </si>
  <si>
    <t>Capacity (MW)</t>
  </si>
  <si>
    <t>Total Cost Per MW</t>
  </si>
  <si>
    <t>Total M as a percentage of CAPEX</t>
  </si>
  <si>
    <t>Generation</t>
  </si>
  <si>
    <t>Transmission</t>
  </si>
  <si>
    <t>6 to 10 years</t>
  </si>
  <si>
    <t>11 to 15 years</t>
  </si>
  <si>
    <t>1 to 5 years</t>
  </si>
  <si>
    <t>21 to 25 years</t>
  </si>
  <si>
    <t>26 to 30 years</t>
  </si>
  <si>
    <t>31 to 35 years</t>
  </si>
  <si>
    <t>36 to 40 years</t>
  </si>
  <si>
    <t>41 to 45 years</t>
  </si>
  <si>
    <t>46 to 50 years</t>
  </si>
  <si>
    <t>Year</t>
  </si>
  <si>
    <t>Year Factor</t>
  </si>
  <si>
    <t>Yearly Cost</t>
  </si>
  <si>
    <t>Present Value</t>
  </si>
  <si>
    <t>Total PV (Sum)</t>
  </si>
  <si>
    <t>Switchyard O&amp;M 5 Year Cost</t>
  </si>
  <si>
    <t>Cost Per MW Per Year</t>
  </si>
  <si>
    <t>Anuity</t>
  </si>
  <si>
    <t>51 to 55 years</t>
  </si>
  <si>
    <t>56 to 60 years</t>
  </si>
  <si>
    <t>Per MW Per Year</t>
  </si>
  <si>
    <t>Region</t>
  </si>
  <si>
    <t>Pinjar</t>
  </si>
  <si>
    <t>Kwinana</t>
  </si>
  <si>
    <t>Kemerton</t>
  </si>
  <si>
    <t>Collie</t>
  </si>
  <si>
    <t>Eneabba</t>
  </si>
  <si>
    <t>Kalgoorlie</t>
  </si>
  <si>
    <t>Land Area (Hectares)</t>
  </si>
  <si>
    <t>Geraldton</t>
  </si>
  <si>
    <t>Price Per Hectare</t>
  </si>
  <si>
    <t>Assessed Value</t>
  </si>
  <si>
    <t>ESCALATION FACTORS</t>
  </si>
  <si>
    <t>CPI</t>
  </si>
  <si>
    <t>Escalation Type</t>
  </si>
  <si>
    <t>Escalation</t>
  </si>
  <si>
    <t>Western Power Charges</t>
  </si>
  <si>
    <t>Total WP Charges</t>
  </si>
  <si>
    <t>Cost Per MW Per year</t>
  </si>
  <si>
    <t xml:space="preserve">Transmission Line O&amp;M Costs (SKM Non Power Station Elements - Table 4-2) </t>
  </si>
  <si>
    <t xml:space="preserve">Switchyard O&amp;M Costs (SKM Non Power Station Elements - Table 4-1)  </t>
  </si>
  <si>
    <t xml:space="preserve">Generation O&amp;M Costs (SKM Power Station Elements - Table 3-2)  </t>
  </si>
  <si>
    <t>Use of system Charge (unit price is $/kW/day)</t>
  </si>
  <si>
    <t>Control system service charge (unit price is $/kW/day)</t>
  </si>
  <si>
    <t>Transmission Metering  (unit price is $/meter/day)</t>
  </si>
  <si>
    <t>Throughout this spreadsheet, the following conventions apply:</t>
  </si>
  <si>
    <t xml:space="preserve">  * The green cells are input values.  These cells are editable to allow Market Participants to test the sensitivity of the various input values.</t>
  </si>
  <si>
    <t>The following worksheets contain input parameters:</t>
  </si>
  <si>
    <t xml:space="preserve">  * The ANNUALISED_CAP_COST sheet determines the annualised capital cost for the power station.</t>
  </si>
  <si>
    <t>Power_Station_Capital</t>
  </si>
  <si>
    <t>ANNUALISED_FIXED_O&amp;M</t>
  </si>
  <si>
    <t>Is the annualised fixed operating and maintenance costs for a typical open cycle gas turbine power station and any associated electricity transmission facilities determined in cluase 1.9 and expressed in Australian dollars in year t, per MW per year</t>
  </si>
  <si>
    <t>ANNUALISED_CAP_COST</t>
  </si>
  <si>
    <t>Is the CAPCOST, expressed in Australia dollars, annualised over a 15 year period, using a Weighted Average Cost of Capital (WACC) as determined in clause 1.13</t>
  </si>
  <si>
    <t>CC</t>
  </si>
  <si>
    <t>PC</t>
  </si>
  <si>
    <t>TC</t>
  </si>
  <si>
    <t>FFC</t>
  </si>
  <si>
    <t>LC</t>
  </si>
  <si>
    <t>CAP_COST</t>
  </si>
  <si>
    <t>where ANNUALISED_CAP_COST = -PMT(WACC,TERM,CAPCOST)</t>
  </si>
  <si>
    <t>Annual</t>
  </si>
  <si>
    <t>5- yearly</t>
  </si>
  <si>
    <t>Debt risk premium (%) , DRP (%)</t>
  </si>
  <si>
    <t>=</t>
  </si>
  <si>
    <t>Average Cost</t>
  </si>
  <si>
    <t>16 to 20 years</t>
  </si>
  <si>
    <t>Debt Issuance Costs (%)</t>
  </si>
  <si>
    <t>5-yearly</t>
  </si>
  <si>
    <t>Escalation type</t>
  </si>
  <si>
    <t>Total Transmission Costs</t>
  </si>
  <si>
    <t>Generation_O&amp;M</t>
  </si>
  <si>
    <t>Fixed Network Access/ ongoing charges</t>
  </si>
  <si>
    <t>Asset Insurance Costs</t>
  </si>
  <si>
    <t>Yearly cost</t>
  </si>
  <si>
    <t>Cost per MW Per Year</t>
  </si>
  <si>
    <t>ITEM B - Fuel sufficient for 14 hours of operation at maximum capacity (litres * fuel price per litre)</t>
  </si>
  <si>
    <t xml:space="preserve">Fixed Fuel Costs </t>
  </si>
  <si>
    <t>is the expected Capacity Credit allocation determined @ 41DegC including inlet cooling</t>
  </si>
  <si>
    <t>Prices as at</t>
  </si>
  <si>
    <t>To be escalated to</t>
  </si>
  <si>
    <t>Total</t>
  </si>
  <si>
    <t>Review Frequency</t>
  </si>
  <si>
    <t xml:space="preserve"> = -PMT(WACC,15,(PCx (1+M) x CC + TC x CC + FFC + LC) x (1+ WACC)^1/2)</t>
  </si>
  <si>
    <t>Margin to cover legal, approval, financing and other costs and contingencies as determined in step 1.12</t>
  </si>
  <si>
    <t>Capital cost of an open cycle gas turbine power station, expressed in Australian dollars per MW as determined in step 1.7 for that location</t>
  </si>
  <si>
    <t>is the expected Capacity Credit allocation determined in conjunction with Power Station costs in step 1.7.1 (b)</t>
  </si>
  <si>
    <t>is the Transmission Connection Cost Estimate, expressed in Australian dollars per MW, as determined in step 1.8</t>
  </si>
  <si>
    <t>is the Fixed Fuel Cost as determined in step 1.10</t>
  </si>
  <si>
    <t>is the Land Cost as determined in step 1.11</t>
  </si>
  <si>
    <t>Is the Weighted Average Cost of Capital as determined in step 1.13</t>
  </si>
  <si>
    <t>Asset replacement insurance</t>
  </si>
  <si>
    <t>Public and products liability insurance</t>
  </si>
  <si>
    <t>Business interruption insurance</t>
  </si>
  <si>
    <t>Connection_O&amp;M</t>
  </si>
  <si>
    <t>Transmission_Connection</t>
  </si>
  <si>
    <t>Financial Year ending</t>
  </si>
  <si>
    <t>Financial year ending</t>
  </si>
  <si>
    <t>Escalation (Financial Year ending)</t>
  </si>
  <si>
    <t>TC (Western Power Costing)</t>
  </si>
  <si>
    <t xml:space="preserve">  * The TC sheet calculates the transmission connection cost from the parameters provided by Western Power.</t>
  </si>
  <si>
    <t xml:space="preserve">  * The LC sheet calculates the land cost from the costs provided by Landgate.</t>
  </si>
  <si>
    <t>Average Land Parcel Cost</t>
  </si>
  <si>
    <t>Average Land Cost</t>
  </si>
  <si>
    <t>https://rol.osr.wa.gov.au/Calculators/faces/Calculators?_afrLoop=482854060468439&amp;_afrWindowMode=0&amp;_adf.ctrl-state=1bjwmmsfw6_4</t>
  </si>
  <si>
    <t>Stamp Duty on Land Parcel</t>
  </si>
  <si>
    <t>Terrorism Levy Mark up</t>
  </si>
  <si>
    <t>Stamp Duty Mark up (also applies to Terrorism levy)</t>
  </si>
  <si>
    <t>Asset Replacement Insurance Percentage</t>
  </si>
  <si>
    <t>Fixed Fuel Costs</t>
  </si>
  <si>
    <t>values from the WP website</t>
  </si>
  <si>
    <t>Actual MRCP</t>
  </si>
  <si>
    <t>Chk if Same to nearest $100?</t>
  </si>
  <si>
    <t>Total cost of Power Stn build</t>
  </si>
  <si>
    <t>Annual insurance site survey</t>
  </si>
  <si>
    <t>ITEM A - Sub total for facility installation</t>
  </si>
  <si>
    <t>Stamp duty calculator:</t>
  </si>
  <si>
    <t xml:space="preserve">  * The WACC sheet calculates the Weighted Average Cost of Capital from the DRP provided by Pricewaterhouse Coopers (PwC) and other WACC parameters calculated by AEMO.</t>
  </si>
  <si>
    <t xml:space="preserve">  * The ANNUALISED_FIXED_O&amp;M sheet calculates the annualised fixed O&amp;M cost from the costs provided by GHD, Western Power and AEMO.</t>
  </si>
  <si>
    <t xml:space="preserve">  * The PC sheet calculates the annualised power station capital cost from the costs provided by GHD.</t>
  </si>
  <si>
    <t xml:space="preserve">  * The M sheet contains the margin M for legal, financing and approval costs as provided by GHD.</t>
  </si>
  <si>
    <t xml:space="preserve">  * The FFC sheet calculates the fixed fuel cost from the costs provided by GHD.</t>
  </si>
  <si>
    <t xml:space="preserve">  * The ESCALATION_FACTORS sheet contains the various cost escalation factors provided by GHD and Western Power.</t>
  </si>
  <si>
    <t>AEMO Calculation Spreadsheet for Benchmark Reserve Capacity Price</t>
  </si>
  <si>
    <t>This spreadsheet performs the calculation of the Benchmark Reserve Capacity Price (BRCP). It has been published to improve the transparency of the BRCP determination for Market Participants.</t>
  </si>
  <si>
    <t>The following worksheets perform or display the calculations that lead to the BRCP:</t>
  </si>
  <si>
    <t xml:space="preserve">  * The BRCP_Calculation sheet displays the final BRCP equation and the various input values.</t>
  </si>
  <si>
    <t>GHD Total EPC Cost ($)</t>
  </si>
  <si>
    <t>BENCHMARK RESERVE CAPACITY PRICE</t>
  </si>
  <si>
    <t>BRCP =(ANNUALISED_FIXED_O&amp;M + ANNUALISED_CAP_COST / CC)</t>
  </si>
  <si>
    <t>BRCP</t>
  </si>
  <si>
    <t xml:space="preserve">The Benchmark Reserve Capacity Price to apply in a reserve Capacity Auction </t>
  </si>
  <si>
    <t>Estimated BRCP</t>
  </si>
  <si>
    <t>Total easement cost as at 30 June 2019</t>
  </si>
  <si>
    <t>Draft report for 2022-23</t>
  </si>
  <si>
    <t>https://www.rba.gov.au/publications/smp/2019/aug/economic-outlook.html</t>
  </si>
  <si>
    <t>Total easement cost as at 30 June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</si>
</sst>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;[Red]\-&quot;$&quot;#,##0.00"/>
    <numFmt numFmtId="164" formatCode="&quot;$&quot;#,##0.00"/>
    <numFmt numFmtId="165" formatCode="0.0%"/>
    <numFmt numFmtId="166" formatCode="&quot;$&quot;#,##0.000"/>
    <numFmt numFmtId="167" formatCode="d\-mmm\-yyyy"/>
    <numFmt numFmtId="168" formatCode="#,##0.0"/>
    <numFmt numFmtId="169" formatCode="0.000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u/>
      <sz val="10"/>
      <color indexed="12"/>
      <name val="Arial"/>
      <family val="2"/>
    </font>
    <font>
      <sz val="10"/>
      <color indexed="13"/>
      <name val="Arial"/>
      <family val="2"/>
    </font>
    <font>
      <b/>
      <sz val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sz val="10"/>
      <color rgb="FF92D050"/>
      <name val="Arial"/>
      <family val="2"/>
    </font>
    <font>
      <b/>
      <sz val="10"/>
      <color theme="6"/>
      <name val="Arial"/>
      <family val="2"/>
    </font>
    <font>
      <b/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66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3" fillId="0" borderId="0" xfId="0" applyFont="1"/>
    <xf numFmtId="164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9" fillId="0" borderId="0" xfId="0" applyFont="1"/>
    <xf numFmtId="0" fontId="5" fillId="3" borderId="3" xfId="0" applyFont="1" applyFill="1" applyBorder="1" applyProtection="1"/>
    <xf numFmtId="0" fontId="6" fillId="3" borderId="4" xfId="0" applyFont="1" applyFill="1" applyBorder="1" applyProtection="1"/>
    <xf numFmtId="0" fontId="6" fillId="0" borderId="0" xfId="0" applyFont="1" applyFill="1" applyProtection="1"/>
    <xf numFmtId="0" fontId="0" fillId="0" borderId="0" xfId="0" applyProtection="1"/>
    <xf numFmtId="0" fontId="0" fillId="3" borderId="4" xfId="0" applyFill="1" applyBorder="1" applyProtection="1"/>
    <xf numFmtId="0" fontId="0" fillId="0" borderId="5" xfId="0" applyBorder="1" applyProtection="1"/>
    <xf numFmtId="0" fontId="0" fillId="0" borderId="6" xfId="0" applyBorder="1" applyProtection="1"/>
    <xf numFmtId="0" fontId="0" fillId="0" borderId="7" xfId="0" applyBorder="1" applyProtection="1"/>
    <xf numFmtId="0" fontId="2" fillId="0" borderId="0" xfId="0" applyFont="1" applyProtection="1"/>
    <xf numFmtId="0" fontId="0" fillId="0" borderId="1" xfId="0" applyBorder="1" applyProtection="1"/>
    <xf numFmtId="0" fontId="2" fillId="0" borderId="1" xfId="0" applyFont="1" applyFill="1" applyBorder="1" applyAlignment="1" applyProtection="1">
      <alignment horizontal="right"/>
    </xf>
    <xf numFmtId="164" fontId="0" fillId="0" borderId="0" xfId="0" applyNumberFormat="1" applyProtection="1"/>
    <xf numFmtId="164" fontId="2" fillId="0" borderId="0" xfId="0" applyNumberFormat="1" applyFont="1" applyProtection="1"/>
    <xf numFmtId="0" fontId="0" fillId="0" borderId="0" xfId="0" applyFill="1" applyProtection="1"/>
    <xf numFmtId="0" fontId="2" fillId="0" borderId="0" xfId="0" applyFont="1" applyFill="1" applyBorder="1" applyProtection="1"/>
    <xf numFmtId="0" fontId="2" fillId="0" borderId="5" xfId="0" applyFont="1" applyBorder="1" applyProtection="1"/>
    <xf numFmtId="0" fontId="2" fillId="0" borderId="8" xfId="0" applyFont="1" applyBorder="1" applyProtection="1"/>
    <xf numFmtId="0" fontId="3" fillId="0" borderId="0" xfId="0" applyFont="1" applyFill="1" applyBorder="1" applyProtection="1"/>
    <xf numFmtId="0" fontId="2" fillId="0" borderId="0" xfId="0" applyFont="1" applyFill="1" applyProtection="1"/>
    <xf numFmtId="0" fontId="0" fillId="0" borderId="0" xfId="0" applyBorder="1" applyProtection="1"/>
    <xf numFmtId="0" fontId="3" fillId="0" borderId="0" xfId="0" applyFont="1" applyFill="1" applyProtection="1"/>
    <xf numFmtId="0" fontId="5" fillId="3" borderId="4" xfId="0" applyFont="1" applyFill="1" applyBorder="1" applyProtection="1"/>
    <xf numFmtId="0" fontId="3" fillId="0" borderId="6" xfId="0" applyFont="1" applyBorder="1" applyProtection="1"/>
    <xf numFmtId="0" fontId="3" fillId="2" borderId="1" xfId="0" applyFont="1" applyFill="1" applyBorder="1" applyProtection="1">
      <protection locked="0"/>
    </xf>
    <xf numFmtId="0" fontId="3" fillId="4" borderId="1" xfId="0" applyFon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2" fillId="0" borderId="10" xfId="0" applyFont="1" applyFill="1" applyBorder="1" applyAlignment="1" applyProtection="1">
      <alignment horizontal="right"/>
    </xf>
    <xf numFmtId="0" fontId="2" fillId="0" borderId="10" xfId="0" applyFont="1" applyBorder="1" applyProtection="1"/>
    <xf numFmtId="164" fontId="2" fillId="5" borderId="1" xfId="0" applyNumberFormat="1" applyFont="1" applyFill="1" applyBorder="1" applyProtection="1"/>
    <xf numFmtId="0" fontId="2" fillId="6" borderId="3" xfId="0" applyFont="1" applyFill="1" applyBorder="1" applyProtection="1"/>
    <xf numFmtId="0" fontId="0" fillId="6" borderId="8" xfId="0" applyFill="1" applyBorder="1" applyProtection="1"/>
    <xf numFmtId="0" fontId="0" fillId="5" borderId="0" xfId="0" applyFill="1" applyProtection="1"/>
    <xf numFmtId="164" fontId="0" fillId="5" borderId="0" xfId="0" applyNumberFormat="1" applyFill="1" applyProtection="1"/>
    <xf numFmtId="164" fontId="0" fillId="5" borderId="1" xfId="0" applyNumberFormat="1" applyFill="1" applyBorder="1" applyProtection="1"/>
    <xf numFmtId="10" fontId="0" fillId="5" borderId="0" xfId="0" applyNumberFormat="1" applyFill="1" applyProtection="1"/>
    <xf numFmtId="164" fontId="2" fillId="5" borderId="0" xfId="0" applyNumberFormat="1" applyFont="1" applyFill="1" applyProtection="1"/>
    <xf numFmtId="164" fontId="2" fillId="5" borderId="9" xfId="0" applyNumberFormat="1" applyFont="1" applyFill="1" applyBorder="1" applyProtection="1"/>
    <xf numFmtId="164" fontId="1" fillId="5" borderId="9" xfId="0" applyNumberFormat="1" applyFont="1" applyFill="1" applyBorder="1" applyProtection="1"/>
    <xf numFmtId="8" fontId="0" fillId="0" borderId="0" xfId="0" applyNumberFormat="1" applyProtection="1"/>
    <xf numFmtId="0" fontId="5" fillId="3" borderId="11" xfId="0" applyFont="1" applyFill="1" applyBorder="1" applyProtection="1"/>
    <xf numFmtId="0" fontId="5" fillId="3" borderId="4" xfId="0" applyFont="1" applyFill="1" applyBorder="1" applyAlignment="1" applyProtection="1">
      <alignment horizontal="right"/>
    </xf>
    <xf numFmtId="0" fontId="2" fillId="0" borderId="0" xfId="0" applyFont="1" applyFill="1" applyAlignment="1" applyProtection="1">
      <alignment horizontal="right"/>
    </xf>
    <xf numFmtId="0" fontId="3" fillId="0" borderId="0" xfId="0" applyFont="1" applyFill="1" applyAlignment="1" applyProtection="1">
      <alignment wrapText="1"/>
    </xf>
    <xf numFmtId="165" fontId="2" fillId="5" borderId="0" xfId="3" applyNumberFormat="1" applyFont="1" applyFill="1" applyProtection="1"/>
    <xf numFmtId="10" fontId="2" fillId="5" borderId="0" xfId="0" applyNumberFormat="1" applyFont="1" applyFill="1" applyProtection="1"/>
    <xf numFmtId="0" fontId="3" fillId="7" borderId="0" xfId="0" applyFont="1" applyFill="1" applyProtection="1"/>
    <xf numFmtId="0" fontId="2" fillId="7" borderId="0" xfId="0" applyFont="1" applyFill="1" applyProtection="1"/>
    <xf numFmtId="0" fontId="2" fillId="7" borderId="0" xfId="0" applyFont="1" applyFill="1" applyAlignment="1" applyProtection="1">
      <alignment horizontal="right"/>
    </xf>
    <xf numFmtId="8" fontId="2" fillId="5" borderId="0" xfId="0" applyNumberFormat="1" applyFont="1" applyFill="1" applyProtection="1"/>
    <xf numFmtId="0" fontId="2" fillId="8" borderId="0" xfId="0" applyFont="1" applyFill="1" applyBorder="1" applyProtection="1"/>
    <xf numFmtId="0" fontId="2" fillId="5" borderId="1" xfId="0" applyFont="1" applyFill="1" applyBorder="1" applyProtection="1"/>
    <xf numFmtId="0" fontId="5" fillId="3" borderId="3" xfId="0" applyFont="1" applyFill="1" applyBorder="1" applyAlignment="1" applyProtection="1">
      <alignment wrapText="1"/>
    </xf>
    <xf numFmtId="0" fontId="5" fillId="0" borderId="0" xfId="0" applyFont="1" applyFill="1" applyBorder="1" applyProtection="1"/>
    <xf numFmtId="0" fontId="6" fillId="0" borderId="0" xfId="0" applyFont="1" applyFill="1" applyBorder="1" applyProtection="1"/>
    <xf numFmtId="0" fontId="2" fillId="0" borderId="6" xfId="0" applyFont="1" applyBorder="1" applyAlignment="1" applyProtection="1">
      <alignment wrapText="1"/>
    </xf>
    <xf numFmtId="0" fontId="3" fillId="0" borderId="10" xfId="0" applyFont="1" applyBorder="1" applyProtection="1"/>
    <xf numFmtId="0" fontId="3" fillId="0" borderId="12" xfId="0" applyFont="1" applyBorder="1" applyProtection="1"/>
    <xf numFmtId="0" fontId="3" fillId="0" borderId="0" xfId="0" applyFont="1" applyProtection="1"/>
    <xf numFmtId="0" fontId="2" fillId="0" borderId="6" xfId="0" applyFont="1" applyFill="1" applyBorder="1" applyAlignment="1" applyProtection="1">
      <alignment wrapText="1"/>
    </xf>
    <xf numFmtId="0" fontId="2" fillId="0" borderId="12" xfId="0" applyFont="1" applyFill="1" applyBorder="1" applyAlignment="1" applyProtection="1">
      <alignment horizontal="right"/>
    </xf>
    <xf numFmtId="0" fontId="3" fillId="0" borderId="13" xfId="0" applyFont="1" applyFill="1" applyBorder="1" applyProtection="1"/>
    <xf numFmtId="0" fontId="3" fillId="0" borderId="6" xfId="0" applyFont="1" applyFill="1" applyBorder="1" applyAlignment="1" applyProtection="1">
      <alignment wrapText="1"/>
    </xf>
    <xf numFmtId="0" fontId="2" fillId="0" borderId="13" xfId="0" applyFont="1" applyBorder="1" applyProtection="1"/>
    <xf numFmtId="0" fontId="2" fillId="0" borderId="0" xfId="0" applyFont="1" applyFill="1" applyBorder="1" applyAlignment="1" applyProtection="1">
      <alignment horizontal="right"/>
    </xf>
    <xf numFmtId="4" fontId="2" fillId="0" borderId="0" xfId="0" applyNumberFormat="1" applyFont="1" applyFill="1" applyBorder="1" applyProtection="1"/>
    <xf numFmtId="0" fontId="2" fillId="0" borderId="7" xfId="0" applyFont="1" applyBorder="1" applyAlignment="1" applyProtection="1">
      <alignment wrapText="1"/>
    </xf>
    <xf numFmtId="0" fontId="2" fillId="0" borderId="2" xfId="0" applyFont="1" applyBorder="1" applyProtection="1"/>
    <xf numFmtId="0" fontId="2" fillId="0" borderId="14" xfId="0" applyFont="1" applyBorder="1" applyAlignment="1" applyProtection="1">
      <alignment horizontal="right"/>
    </xf>
    <xf numFmtId="0" fontId="3" fillId="0" borderId="0" xfId="0" applyFont="1" applyAlignment="1" applyProtection="1">
      <alignment wrapText="1"/>
    </xf>
    <xf numFmtId="0" fontId="2" fillId="0" borderId="0" xfId="0" applyFont="1" applyAlignment="1" applyProtection="1">
      <alignment horizontal="right"/>
    </xf>
    <xf numFmtId="0" fontId="2" fillId="0" borderId="0" xfId="0" applyFont="1" applyBorder="1" applyProtection="1"/>
    <xf numFmtId="0" fontId="6" fillId="3" borderId="11" xfId="0" applyFont="1" applyFill="1" applyBorder="1" applyProtection="1"/>
    <xf numFmtId="0" fontId="2" fillId="6" borderId="1" xfId="0" applyFont="1" applyFill="1" applyBorder="1" applyProtection="1"/>
    <xf numFmtId="0" fontId="3" fillId="0" borderId="0" xfId="0" applyFont="1" applyBorder="1" applyProtection="1"/>
    <xf numFmtId="0" fontId="8" fillId="0" borderId="0" xfId="0" applyFont="1" applyFill="1" applyProtection="1"/>
    <xf numFmtId="10" fontId="2" fillId="0" borderId="0" xfId="0" applyNumberFormat="1" applyFont="1" applyFill="1" applyProtection="1"/>
    <xf numFmtId="10" fontId="2" fillId="5" borderId="15" xfId="0" applyNumberFormat="1" applyFont="1" applyFill="1" applyBorder="1" applyProtection="1"/>
    <xf numFmtId="10" fontId="2" fillId="5" borderId="9" xfId="0" applyNumberFormat="1" applyFont="1" applyFill="1" applyBorder="1" applyProtection="1"/>
    <xf numFmtId="10" fontId="2" fillId="5" borderId="16" xfId="0" applyNumberFormat="1" applyFont="1" applyFill="1" applyBorder="1" applyProtection="1"/>
    <xf numFmtId="0" fontId="0" fillId="3" borderId="4" xfId="0" applyFill="1" applyBorder="1" applyAlignment="1" applyProtection="1">
      <alignment horizontal="right"/>
    </xf>
    <xf numFmtId="164" fontId="2" fillId="5" borderId="1" xfId="0" applyNumberFormat="1" applyFont="1" applyFill="1" applyBorder="1" applyAlignment="1" applyProtection="1">
      <alignment horizontal="right"/>
    </xf>
    <xf numFmtId="0" fontId="0" fillId="3" borderId="11" xfId="0" applyFill="1" applyBorder="1" applyProtection="1"/>
    <xf numFmtId="0" fontId="2" fillId="0" borderId="0" xfId="0" applyFont="1" applyAlignment="1" applyProtection="1">
      <alignment horizontal="left"/>
    </xf>
    <xf numFmtId="0" fontId="0" fillId="0" borderId="0" xfId="0" applyAlignment="1" applyProtection="1">
      <alignment horizontal="right"/>
    </xf>
    <xf numFmtId="164" fontId="0" fillId="5" borderId="1" xfId="0" applyNumberFormat="1" applyFill="1" applyBorder="1" applyAlignment="1" applyProtection="1">
      <alignment horizontal="right"/>
    </xf>
    <xf numFmtId="167" fontId="2" fillId="5" borderId="1" xfId="0" applyNumberFormat="1" applyFont="1" applyFill="1" applyBorder="1" applyAlignment="1" applyProtection="1">
      <alignment horizontal="right"/>
    </xf>
    <xf numFmtId="0" fontId="2" fillId="0" borderId="6" xfId="0" applyFont="1" applyBorder="1" applyProtection="1"/>
    <xf numFmtId="10" fontId="2" fillId="5" borderId="9" xfId="3" applyNumberFormat="1" applyFont="1" applyFill="1" applyBorder="1" applyAlignment="1" applyProtection="1">
      <alignment horizontal="right"/>
    </xf>
    <xf numFmtId="0" fontId="2" fillId="6" borderId="17" xfId="0" applyFont="1" applyFill="1" applyBorder="1" applyProtection="1"/>
    <xf numFmtId="0" fontId="0" fillId="0" borderId="8" xfId="0" applyBorder="1" applyProtection="1"/>
    <xf numFmtId="0" fontId="0" fillId="0" borderId="12" xfId="0" applyBorder="1" applyProtection="1"/>
    <xf numFmtId="0" fontId="0" fillId="0" borderId="14" xfId="0" applyBorder="1" applyProtection="1"/>
    <xf numFmtId="164" fontId="1" fillId="5" borderId="15" xfId="0" applyNumberFormat="1" applyFont="1" applyFill="1" applyBorder="1" applyProtection="1"/>
    <xf numFmtId="164" fontId="2" fillId="5" borderId="2" xfId="0" applyNumberFormat="1" applyFont="1" applyFill="1" applyBorder="1" applyProtection="1"/>
    <xf numFmtId="10" fontId="12" fillId="9" borderId="1" xfId="3" applyNumberFormat="1" applyFont="1" applyFill="1" applyBorder="1" applyProtection="1"/>
    <xf numFmtId="0" fontId="7" fillId="0" borderId="0" xfId="1" applyAlignment="1" applyProtection="1"/>
    <xf numFmtId="0" fontId="17" fillId="0" borderId="0" xfId="0" applyFont="1" applyProtection="1"/>
    <xf numFmtId="168" fontId="2" fillId="5" borderId="1" xfId="0" applyNumberFormat="1" applyFont="1" applyFill="1" applyBorder="1" applyProtection="1"/>
    <xf numFmtId="0" fontId="2" fillId="5" borderId="0" xfId="2" applyFont="1" applyFill="1" applyProtection="1"/>
    <xf numFmtId="0" fontId="0" fillId="0" borderId="6" xfId="0" applyFill="1" applyBorder="1" applyProtection="1"/>
    <xf numFmtId="0" fontId="0" fillId="0" borderId="0" xfId="0" applyFill="1" applyBorder="1" applyProtection="1"/>
    <xf numFmtId="0" fontId="3" fillId="0" borderId="0" xfId="0" quotePrefix="1" applyFont="1" applyProtection="1"/>
    <xf numFmtId="14" fontId="2" fillId="0" borderId="0" xfId="0" applyNumberFormat="1" applyFont="1" applyFill="1" applyProtection="1"/>
    <xf numFmtId="166" fontId="0" fillId="0" borderId="0" xfId="0" applyNumberFormat="1" applyProtection="1"/>
    <xf numFmtId="8" fontId="2" fillId="0" borderId="0" xfId="0" applyNumberFormat="1" applyFont="1" applyProtection="1"/>
    <xf numFmtId="164" fontId="0" fillId="0" borderId="0" xfId="0" applyNumberFormat="1" applyFill="1" applyBorder="1" applyProtection="1"/>
    <xf numFmtId="0" fontId="0" fillId="0" borderId="0" xfId="0" applyFill="1" applyAlignment="1" applyProtection="1">
      <alignment wrapText="1"/>
    </xf>
    <xf numFmtId="0" fontId="18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Fill="1" applyProtection="1">
      <protection locked="0"/>
    </xf>
    <xf numFmtId="0" fontId="0" fillId="0" borderId="0" xfId="0" applyProtection="1">
      <protection locked="0"/>
    </xf>
    <xf numFmtId="0" fontId="3" fillId="0" borderId="6" xfId="0" applyFont="1" applyFill="1" applyBorder="1" applyProtection="1"/>
    <xf numFmtId="164" fontId="0" fillId="2" borderId="9" xfId="0" applyNumberFormat="1" applyFill="1" applyBorder="1" applyProtection="1">
      <protection locked="0"/>
    </xf>
    <xf numFmtId="10" fontId="2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1" xfId="6" applyNumberFormat="1" applyFill="1" applyBorder="1" applyProtection="1">
      <protection locked="0"/>
    </xf>
    <xf numFmtId="164" fontId="1" fillId="2" borderId="14" xfId="6" applyNumberFormat="1" applyFill="1" applyBorder="1" applyProtection="1">
      <protection locked="0"/>
    </xf>
    <xf numFmtId="10" fontId="1" fillId="11" borderId="18" xfId="0" applyNumberFormat="1" applyFont="1" applyFill="1" applyBorder="1" applyAlignment="1" applyProtection="1">
      <alignment vertical="center"/>
      <protection locked="0"/>
    </xf>
    <xf numFmtId="10" fontId="1" fillId="11" borderId="19" xfId="0" applyNumberFormat="1" applyFont="1" applyFill="1" applyBorder="1" applyAlignment="1" applyProtection="1">
      <alignment vertical="center"/>
      <protection locked="0"/>
    </xf>
    <xf numFmtId="10" fontId="1" fillId="11" borderId="20" xfId="0" applyNumberFormat="1" applyFont="1" applyFill="1" applyBorder="1" applyAlignment="1" applyProtection="1">
      <alignment vertical="center"/>
      <protection locked="0"/>
    </xf>
    <xf numFmtId="10" fontId="1" fillId="11" borderId="21" xfId="0" applyNumberFormat="1" applyFont="1" applyFill="1" applyBorder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Protection="1"/>
    <xf numFmtId="0" fontId="1" fillId="0" borderId="0" xfId="0" applyFont="1" applyFill="1" applyProtection="1"/>
    <xf numFmtId="164" fontId="0" fillId="2" borderId="9" xfId="0" applyNumberFormat="1" applyFill="1" applyBorder="1" applyAlignment="1" applyProtection="1">
      <alignment horizontal="right" vertical="center"/>
      <protection locked="0"/>
    </xf>
    <xf numFmtId="165" fontId="0" fillId="0" borderId="0" xfId="3" applyNumberFormat="1" applyFont="1" applyProtection="1"/>
    <xf numFmtId="0" fontId="2" fillId="12" borderId="1" xfId="0" applyFont="1" applyFill="1" applyBorder="1" applyProtection="1"/>
    <xf numFmtId="164" fontId="0" fillId="12" borderId="4" xfId="0" applyNumberFormat="1" applyFill="1" applyBorder="1" applyProtection="1"/>
    <xf numFmtId="0" fontId="3" fillId="12" borderId="1" xfId="0" applyFont="1" applyFill="1" applyBorder="1" applyProtection="1"/>
    <xf numFmtId="166" fontId="0" fillId="12" borderId="4" xfId="0" applyNumberFormat="1" applyFill="1" applyBorder="1" applyProtection="1"/>
    <xf numFmtId="0" fontId="1" fillId="12" borderId="1" xfId="0" applyFont="1" applyFill="1" applyBorder="1" applyProtection="1"/>
    <xf numFmtId="8" fontId="0" fillId="12" borderId="4" xfId="0" applyNumberFormat="1" applyFill="1" applyBorder="1" applyProtection="1"/>
    <xf numFmtId="8" fontId="2" fillId="12" borderId="14" xfId="0" applyNumberFormat="1" applyFont="1" applyFill="1" applyBorder="1" applyProtection="1"/>
    <xf numFmtId="169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0" xfId="0" applyFont="1"/>
    <xf numFmtId="10" fontId="1" fillId="11" borderId="1" xfId="0" applyNumberFormat="1" applyFont="1" applyFill="1" applyBorder="1" applyProtection="1">
      <protection locked="0"/>
    </xf>
    <xf numFmtId="0" fontId="1" fillId="11" borderId="2" xfId="0" applyFont="1" applyFill="1" applyBorder="1" applyProtection="1">
      <protection locked="0"/>
    </xf>
    <xf numFmtId="164" fontId="1" fillId="11" borderId="1" xfId="0" applyNumberFormat="1" applyFont="1" applyFill="1" applyBorder="1" applyProtection="1">
      <protection locked="0"/>
    </xf>
    <xf numFmtId="0" fontId="1" fillId="0" borderId="6" xfId="0" applyFont="1" applyFill="1" applyBorder="1" applyAlignment="1" applyProtection="1">
      <alignment wrapText="1"/>
    </xf>
    <xf numFmtId="0" fontId="1" fillId="0" borderId="0" xfId="0" applyFont="1" applyFill="1" applyBorder="1" applyProtection="1"/>
    <xf numFmtId="164" fontId="2" fillId="0" borderId="0" xfId="0" applyNumberFormat="1" applyFont="1" applyFill="1" applyProtection="1"/>
    <xf numFmtId="164" fontId="3" fillId="0" borderId="0" xfId="0" applyNumberFormat="1" applyFont="1" applyFill="1" applyProtection="1"/>
    <xf numFmtId="10" fontId="0" fillId="0" borderId="0" xfId="0" applyNumberFormat="1" applyProtection="1"/>
    <xf numFmtId="164" fontId="2" fillId="5" borderId="1" xfId="0" applyNumberFormat="1" applyFont="1" applyFill="1" applyBorder="1" applyAlignment="1" applyProtection="1">
      <alignment horizontal="right"/>
      <protection locked="0"/>
    </xf>
    <xf numFmtId="10" fontId="1" fillId="0" borderId="12" xfId="0" applyNumberFormat="1" applyFont="1" applyBorder="1" applyProtection="1">
      <protection locked="0"/>
    </xf>
    <xf numFmtId="15" fontId="2" fillId="10" borderId="22" xfId="2" applyNumberFormat="1" applyFont="1" applyFill="1" applyBorder="1" applyProtection="1"/>
    <xf numFmtId="15" fontId="2" fillId="10" borderId="23" xfId="2" applyNumberFormat="1" applyFont="1" applyFill="1" applyBorder="1" applyProtection="1"/>
    <xf numFmtId="10" fontId="1" fillId="11" borderId="24" xfId="0" applyNumberFormat="1" applyFont="1" applyFill="1" applyBorder="1" applyAlignment="1" applyProtection="1">
      <alignment vertical="center"/>
      <protection locked="0"/>
    </xf>
    <xf numFmtId="10" fontId="1" fillId="11" borderId="25" xfId="0" applyNumberFormat="1" applyFont="1" applyFill="1" applyBorder="1" applyAlignment="1" applyProtection="1">
      <alignment vertical="center"/>
      <protection locked="0"/>
    </xf>
    <xf numFmtId="10" fontId="1" fillId="11" borderId="26" xfId="0" applyNumberFormat="1" applyFont="1" applyFill="1" applyBorder="1" applyAlignment="1" applyProtection="1">
      <alignment vertical="center"/>
      <protection locked="0"/>
    </xf>
    <xf numFmtId="0" fontId="19" fillId="0" borderId="0" xfId="0" applyFont="1" applyFill="1" applyBorder="1" applyProtection="1"/>
    <xf numFmtId="0" fontId="20" fillId="0" borderId="0" xfId="0" applyFont="1" applyFill="1" applyBorder="1" applyProtection="1"/>
    <xf numFmtId="164" fontId="0" fillId="0" borderId="0" xfId="0" applyNumberFormat="1" applyFill="1" applyProtection="1"/>
    <xf numFmtId="8" fontId="21" fillId="0" borderId="0" xfId="0" applyNumberFormat="1" applyFont="1" applyBorder="1" applyAlignment="1">
      <alignment vertical="center"/>
    </xf>
    <xf numFmtId="8" fontId="0" fillId="0" borderId="0" xfId="0" applyNumberFormat="1" applyBorder="1" applyProtection="1"/>
    <xf numFmtId="10" fontId="1" fillId="9" borderId="24" xfId="0" applyNumberFormat="1" applyFont="1" applyFill="1" applyBorder="1" applyAlignment="1" applyProtection="1">
      <alignment vertical="center"/>
    </xf>
    <xf numFmtId="10" fontId="1" fillId="9" borderId="25" xfId="0" applyNumberFormat="1" applyFont="1" applyFill="1" applyBorder="1" applyAlignment="1" applyProtection="1">
      <alignment vertical="center"/>
    </xf>
    <xf numFmtId="0" fontId="5" fillId="3" borderId="3" xfId="0" applyFont="1" applyFill="1" applyBorder="1" applyAlignment="1" applyProtection="1">
      <alignment horizontal="left"/>
    </xf>
    <xf numFmtId="0" fontId="5" fillId="3" borderId="4" xfId="0" applyFont="1" applyFill="1" applyBorder="1" applyAlignment="1" applyProtection="1">
      <alignment horizontal="left"/>
    </xf>
    <xf numFmtId="0" fontId="5" fillId="3" borderId="11" xfId="0" applyFont="1" applyFill="1" applyBorder="1" applyAlignment="1" applyProtection="1">
      <alignment horizontal="left"/>
    </xf>
    <xf numFmtId="0" fontId="2" fillId="0" borderId="0" xfId="0" applyFont="1" applyAlignment="1" applyProtection="1">
      <alignment horizontal="center"/>
    </xf>
  </cellXfs>
  <cellStyles count="9">
    <cellStyle name="Hyperlink" xfId="1" builtinId="8"/>
    <cellStyle name="Normal" xfId="0" builtinId="0"/>
    <cellStyle name="Normal 2" xfId="2" xr:uid="{00000000-0005-0000-0000-000002000000}"/>
    <cellStyle name="Normal 2 2" xfId="6" xr:uid="{00000000-0005-0000-0000-000003000000}"/>
    <cellStyle name="Percent" xfId="3" builtinId="5"/>
    <cellStyle name="Percent 2" xfId="4" xr:uid="{00000000-0005-0000-0000-000005000000}"/>
    <cellStyle name="Percent 2 2" xfId="7" xr:uid="{00000000-0005-0000-0000-000006000000}"/>
    <cellStyle name="Percent 3" xfId="5" xr:uid="{00000000-0005-0000-0000-000007000000}"/>
    <cellStyle name="Percent 3 2" xfId="8" xr:uid="{00000000-0005-0000-0000-000008000000}"/>
  </cellStyles>
  <dxfs count="0"/>
  <tableStyles count="0" defaultTableStyle="TableStyleMedium9" defaultPivotStyle="PivotStyleLight16"/>
  <colors>
    <mruColors>
      <color rgb="FF00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rol.osr.wa.gov.au/Calculators/faces/Calculators?_afrLoop=482854060468439&amp;_afrWindowMode=0&amp;_adf.ctrl-state=1bjwmmsfw6_4" TargetMode="Externa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pageSetUpPr fitToPage="1"/>
  </sheetPr>
  <dimension ref="A1:A39"/>
  <sheetViews>
    <sheetView showGridLines="0" workbookViewId="0">
      <selection activeCell="A16" sqref="A16"/>
    </sheetView>
  </sheetViews>
  <sheetFormatPr defaultRowHeight="12.75" x14ac:dyDescent="0.2"/>
  <cols>
    <col min="1" max="1" width="162.42578125" customWidth="1"/>
  </cols>
  <sheetData>
    <row r="1" spans="1:1" ht="15.75" x14ac:dyDescent="0.25">
      <c r="A1" s="5" t="s">
        <v>156</v>
      </c>
    </row>
    <row r="2" spans="1:1" ht="15" x14ac:dyDescent="0.25">
      <c r="A2" s="114" t="s">
        <v>167</v>
      </c>
    </row>
    <row r="4" spans="1:1" x14ac:dyDescent="0.2">
      <c r="A4" s="143" t="s">
        <v>157</v>
      </c>
    </row>
    <row r="6" spans="1:1" x14ac:dyDescent="0.2">
      <c r="A6" s="1" t="s">
        <v>78</v>
      </c>
    </row>
    <row r="7" spans="1:1" x14ac:dyDescent="0.2">
      <c r="A7" s="1" t="s">
        <v>79</v>
      </c>
    </row>
    <row r="9" spans="1:1" x14ac:dyDescent="0.2">
      <c r="A9" s="1" t="s">
        <v>80</v>
      </c>
    </row>
    <row r="10" spans="1:1" x14ac:dyDescent="0.2">
      <c r="A10" s="129" t="s">
        <v>151</v>
      </c>
    </row>
    <row r="11" spans="1:1" x14ac:dyDescent="0.2">
      <c r="A11" s="129" t="s">
        <v>150</v>
      </c>
    </row>
    <row r="12" spans="1:1" x14ac:dyDescent="0.2">
      <c r="A12" s="129" t="s">
        <v>152</v>
      </c>
    </row>
    <row r="13" spans="1:1" x14ac:dyDescent="0.2">
      <c r="A13" s="129" t="s">
        <v>153</v>
      </c>
    </row>
    <row r="14" spans="1:1" x14ac:dyDescent="0.2">
      <c r="A14" s="116" t="s">
        <v>133</v>
      </c>
    </row>
    <row r="15" spans="1:1" x14ac:dyDescent="0.2">
      <c r="A15" s="129" t="s">
        <v>154</v>
      </c>
    </row>
    <row r="16" spans="1:1" x14ac:dyDescent="0.2">
      <c r="A16" s="115" t="s">
        <v>134</v>
      </c>
    </row>
    <row r="17" spans="1:1" x14ac:dyDescent="0.2">
      <c r="A17" s="129" t="s">
        <v>155</v>
      </c>
    </row>
    <row r="18" spans="1:1" x14ac:dyDescent="0.2">
      <c r="A18" s="1"/>
    </row>
    <row r="19" spans="1:1" x14ac:dyDescent="0.2">
      <c r="A19" s="143" t="s">
        <v>158</v>
      </c>
    </row>
    <row r="20" spans="1:1" x14ac:dyDescent="0.2">
      <c r="A20" s="129" t="s">
        <v>81</v>
      </c>
    </row>
    <row r="21" spans="1:1" x14ac:dyDescent="0.2">
      <c r="A21" s="129" t="s">
        <v>159</v>
      </c>
    </row>
    <row r="22" spans="1:1" x14ac:dyDescent="0.2">
      <c r="A22" s="117"/>
    </row>
    <row r="23" spans="1:1" x14ac:dyDescent="0.2">
      <c r="A23" s="117"/>
    </row>
    <row r="24" spans="1:1" x14ac:dyDescent="0.2">
      <c r="A24" s="117"/>
    </row>
    <row r="25" spans="1:1" x14ac:dyDescent="0.2">
      <c r="A25" s="117"/>
    </row>
    <row r="26" spans="1:1" x14ac:dyDescent="0.2">
      <c r="A26" s="117"/>
    </row>
    <row r="27" spans="1:1" x14ac:dyDescent="0.2">
      <c r="A27" s="117"/>
    </row>
    <row r="28" spans="1:1" x14ac:dyDescent="0.2">
      <c r="A28" s="117"/>
    </row>
    <row r="29" spans="1:1" x14ac:dyDescent="0.2">
      <c r="A29" s="117"/>
    </row>
    <row r="30" spans="1:1" x14ac:dyDescent="0.2">
      <c r="A30" s="117"/>
    </row>
    <row r="31" spans="1:1" x14ac:dyDescent="0.2">
      <c r="A31" s="117"/>
    </row>
    <row r="32" spans="1:1" x14ac:dyDescent="0.2">
      <c r="A32" s="117"/>
    </row>
    <row r="33" spans="1:1" x14ac:dyDescent="0.2">
      <c r="A33" s="117"/>
    </row>
    <row r="34" spans="1:1" x14ac:dyDescent="0.2">
      <c r="A34" s="117"/>
    </row>
    <row r="35" spans="1:1" x14ac:dyDescent="0.2">
      <c r="A35" s="117"/>
    </row>
    <row r="36" spans="1:1" x14ac:dyDescent="0.2">
      <c r="A36" s="117"/>
    </row>
    <row r="37" spans="1:1" x14ac:dyDescent="0.2">
      <c r="A37" s="117"/>
    </row>
    <row r="38" spans="1:1" x14ac:dyDescent="0.2">
      <c r="A38" s="117"/>
    </row>
    <row r="39" spans="1:1" x14ac:dyDescent="0.2">
      <c r="A39" s="117"/>
    </row>
  </sheetData>
  <sheetProtection algorithmName="SHA-512" hashValue="hihZ6qmtNuDx8dlf7/Tl6JOq7CkL4rVNfg0YiQn74NwV8FCi9LdxBm8Pe6jd7Oj8GLzWCBfvRQKLjjbCS9Tf1A==" saltValue="bfgH1Z+Bme+5ArtCbKeZsQ==" spinCount="100000" sheet="1" formatCells="0" formatColumns="0" formatRows="0"/>
  <phoneticPr fontId="13" type="noConversion"/>
  <pageMargins left="0.7" right="0.7" top="0.75" bottom="0.75" header="0.3" footer="0.3"/>
  <pageSetup paperSize="9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G18"/>
  <sheetViews>
    <sheetView showGridLines="0" workbookViewId="0">
      <selection activeCell="E9" sqref="E9"/>
    </sheetView>
  </sheetViews>
  <sheetFormatPr defaultColWidth="9.140625" defaultRowHeight="12.75" x14ac:dyDescent="0.2"/>
  <cols>
    <col min="1" max="1" width="53" style="9" bestFit="1" customWidth="1"/>
    <col min="2" max="3" width="14.85546875" style="9" customWidth="1"/>
    <col min="4" max="4" width="11.140625" style="9" bestFit="1" customWidth="1"/>
    <col min="5" max="5" width="9.140625" style="9"/>
    <col min="6" max="7" width="11.140625" style="9" bestFit="1" customWidth="1"/>
    <col min="8" max="16384" width="9.140625" style="9"/>
  </cols>
  <sheetData>
    <row r="1" spans="1:7" s="19" customFormat="1" ht="18.75" thickBot="1" x14ac:dyDescent="0.3">
      <c r="A1" s="166" t="s">
        <v>90</v>
      </c>
      <c r="B1" s="168"/>
      <c r="C1" s="167"/>
    </row>
    <row r="3" spans="1:7" x14ac:dyDescent="0.2">
      <c r="A3" s="64" t="s">
        <v>110</v>
      </c>
    </row>
    <row r="4" spans="1:7" ht="13.5" thickBot="1" x14ac:dyDescent="0.25"/>
    <row r="5" spans="1:7" ht="13.5" thickBot="1" x14ac:dyDescent="0.25">
      <c r="A5" s="19" t="s">
        <v>148</v>
      </c>
      <c r="C5" s="119">
        <v>6317933</v>
      </c>
      <c r="E5" s="19"/>
    </row>
    <row r="6" spans="1:7" ht="31.5" customHeight="1" thickBot="1" x14ac:dyDescent="0.25">
      <c r="A6" s="113" t="s">
        <v>109</v>
      </c>
      <c r="C6" s="132">
        <v>517007</v>
      </c>
      <c r="D6" s="17"/>
      <c r="E6" s="19"/>
      <c r="F6" s="17"/>
      <c r="G6" s="17"/>
    </row>
    <row r="7" spans="1:7" ht="13.5" thickBot="1" x14ac:dyDescent="0.25">
      <c r="C7" s="17"/>
      <c r="E7" s="19"/>
    </row>
    <row r="8" spans="1:7" ht="13.5" thickBot="1" x14ac:dyDescent="0.25">
      <c r="A8" s="14" t="s">
        <v>114</v>
      </c>
      <c r="C8" s="87">
        <f>SUM(C5:C6)</f>
        <v>6834940</v>
      </c>
      <c r="E8" s="19"/>
    </row>
    <row r="9" spans="1:7" s="19" customFormat="1" ht="13.5" thickBot="1" x14ac:dyDescent="0.25">
      <c r="A9" s="20"/>
      <c r="B9" s="20"/>
      <c r="C9" s="20"/>
      <c r="D9" s="20"/>
    </row>
    <row r="10" spans="1:7" ht="13.5" thickBot="1" x14ac:dyDescent="0.25">
      <c r="A10" s="14" t="s">
        <v>67</v>
      </c>
      <c r="C10" s="33" t="s">
        <v>66</v>
      </c>
      <c r="E10" s="19"/>
    </row>
    <row r="11" spans="1:7" s="19" customFormat="1" ht="13.5" thickBot="1" x14ac:dyDescent="0.25">
      <c r="A11" s="20" t="s">
        <v>112</v>
      </c>
      <c r="C11" s="31">
        <v>43646</v>
      </c>
    </row>
    <row r="12" spans="1:7" s="19" customFormat="1" ht="13.5" thickBot="1" x14ac:dyDescent="0.25">
      <c r="A12" s="20" t="s">
        <v>113</v>
      </c>
      <c r="C12" s="32">
        <v>44652</v>
      </c>
    </row>
    <row r="13" spans="1:7" ht="13.5" thickBot="1" x14ac:dyDescent="0.25">
      <c r="B13" s="20"/>
      <c r="D13" s="20"/>
      <c r="E13" s="19"/>
    </row>
    <row r="14" spans="1:7" ht="13.5" thickBot="1" x14ac:dyDescent="0.25">
      <c r="A14" s="14" t="s">
        <v>131</v>
      </c>
      <c r="B14" s="92">
        <f>ESCALATION_FACTORS!$B$4</f>
        <v>44012</v>
      </c>
      <c r="C14" s="101">
        <f>VLOOKUP($C$10,ESCALATION_FACTORS!$A$5:$E$9,2,)</f>
        <v>1.7500000000000002E-2</v>
      </c>
      <c r="E14" s="19"/>
    </row>
    <row r="15" spans="1:7" s="19" customFormat="1" ht="13.5" thickBot="1" x14ac:dyDescent="0.25">
      <c r="A15" s="20"/>
      <c r="B15" s="92">
        <f>ESCALATION_FACTORS!$C$4</f>
        <v>44377</v>
      </c>
      <c r="C15" s="101">
        <f>VLOOKUP($C$10,ESCALATION_FACTORS!$A$5:$E$9,3,)</f>
        <v>0.02</v>
      </c>
      <c r="D15" s="20"/>
    </row>
    <row r="16" spans="1:7" s="19" customFormat="1" ht="13.5" thickBot="1" x14ac:dyDescent="0.25">
      <c r="A16" s="20"/>
      <c r="B16" s="92">
        <f>ESCALATION_FACTORS!$D$4</f>
        <v>44742</v>
      </c>
      <c r="C16" s="101">
        <f>VLOOKUP($C$10,ESCALATION_FACTORS!$A$5:$E$9,4,)</f>
        <v>2.2499999999999999E-2</v>
      </c>
      <c r="D16" s="20"/>
    </row>
    <row r="17" spans="1:4" s="19" customFormat="1" ht="13.5" thickBot="1" x14ac:dyDescent="0.25">
      <c r="A17" s="20"/>
      <c r="B17" s="20"/>
      <c r="C17" s="20"/>
      <c r="D17" s="20"/>
    </row>
    <row r="18" spans="1:4" ht="13.5" thickBot="1" x14ac:dyDescent="0.25">
      <c r="A18" s="14" t="s">
        <v>90</v>
      </c>
      <c r="C18" s="87">
        <f>C8*IF(C11&lt;=B14,(1+C14)^((MIN(C12,B14)-MAX(C11,DATE(YEAR(B14)-1,6,30)))/(B14-DATE(YEAR(B14)-1,6,30))),1)*IF(AND(C11&lt;=B15,C12&gt;=B14),(1+C15)^((MIN(C12,B15)-MAX(C11,B14))/(B15-B14)),1)*IF(C12&gt;=B15,(1+C16)^((C12-MAX(C11,B15))/(B16-B15)),1)</f>
        <v>7213563.7996095791</v>
      </c>
    </row>
  </sheetData>
  <sheetProtection algorithmName="SHA-512" hashValue="Wpaes8p7c1nj6vUMqmtqE8XYfxI23MlSAMOipAYQNJRpt+t97ttkrgn69TrV3tkF3PZjwQ7tgFIOzybtgB7tQQ==" saltValue="0wrE7ASD/LRTxErL97fFWA==" spinCount="100000" sheet="1" formatCells="0" formatColumns="0" formatRows="0"/>
  <mergeCells count="1">
    <mergeCell ref="A1:C1"/>
  </mergeCells>
  <phoneticPr fontId="4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J10"/>
  <sheetViews>
    <sheetView showGridLines="0" zoomScaleNormal="100" workbookViewId="0">
      <selection activeCell="F38" sqref="F38"/>
    </sheetView>
  </sheetViews>
  <sheetFormatPr defaultColWidth="9.140625" defaultRowHeight="12.75" x14ac:dyDescent="0.2"/>
  <cols>
    <col min="1" max="1" width="37.5703125" style="9" customWidth="1"/>
    <col min="2" max="5" width="10.140625" style="9" customWidth="1"/>
    <col min="6" max="16384" width="9.140625" style="9"/>
  </cols>
  <sheetData>
    <row r="1" spans="1:10" ht="18.75" thickBot="1" x14ac:dyDescent="0.3">
      <c r="A1" s="166" t="s">
        <v>65</v>
      </c>
      <c r="B1" s="168"/>
      <c r="C1" s="168"/>
      <c r="D1" s="168"/>
      <c r="E1" s="167"/>
    </row>
    <row r="2" spans="1:10" x14ac:dyDescent="0.2">
      <c r="A2"/>
      <c r="B2"/>
      <c r="C2"/>
      <c r="D2"/>
      <c r="E2"/>
      <c r="F2"/>
    </row>
    <row r="3" spans="1:10" ht="13.5" thickBot="1" x14ac:dyDescent="0.25">
      <c r="A3"/>
      <c r="B3" s="169" t="s">
        <v>129</v>
      </c>
      <c r="C3" s="169"/>
      <c r="D3" s="169"/>
      <c r="E3" s="169"/>
      <c r="F3"/>
    </row>
    <row r="4" spans="1:10" ht="13.5" thickBot="1" x14ac:dyDescent="0.25">
      <c r="A4"/>
      <c r="B4" s="154">
        <v>44012</v>
      </c>
      <c r="C4" s="155">
        <v>44377</v>
      </c>
      <c r="D4" s="154">
        <v>44742</v>
      </c>
      <c r="E4" s="155">
        <v>45107</v>
      </c>
      <c r="F4"/>
      <c r="G4" s="19"/>
      <c r="H4" s="19"/>
      <c r="I4" s="19"/>
      <c r="J4" s="19"/>
    </row>
    <row r="5" spans="1:10" ht="18" customHeight="1" x14ac:dyDescent="0.2">
      <c r="A5" s="160" t="s">
        <v>82</v>
      </c>
      <c r="B5" s="156">
        <v>5.3999999999999999E-2</v>
      </c>
      <c r="C5" s="157">
        <v>-3.1E-2</v>
      </c>
      <c r="D5" s="157">
        <v>1E-3</v>
      </c>
      <c r="E5" s="158">
        <v>3.5999999999999997E-2</v>
      </c>
      <c r="F5"/>
      <c r="G5" s="19"/>
      <c r="H5" s="19"/>
      <c r="I5" s="19"/>
      <c r="J5" s="19"/>
    </row>
    <row r="6" spans="1:10" ht="18" customHeight="1" x14ac:dyDescent="0.2">
      <c r="A6" s="160" t="s">
        <v>104</v>
      </c>
      <c r="B6" s="125">
        <v>0.04</v>
      </c>
      <c r="C6" s="126">
        <v>4.0000000000000001E-3</v>
      </c>
      <c r="D6" s="126">
        <v>1.2999999999999999E-2</v>
      </c>
      <c r="E6" s="127">
        <v>0.02</v>
      </c>
      <c r="F6"/>
      <c r="G6" s="19"/>
      <c r="H6" s="19"/>
      <c r="I6" s="19"/>
      <c r="J6" s="19"/>
    </row>
    <row r="7" spans="1:10" ht="18" customHeight="1" x14ac:dyDescent="0.2">
      <c r="A7" s="160" t="s">
        <v>127</v>
      </c>
      <c r="B7" s="125">
        <v>2.3E-2</v>
      </c>
      <c r="C7" s="126">
        <v>0.02</v>
      </c>
      <c r="D7" s="126">
        <v>1.7999999999999999E-2</v>
      </c>
      <c r="E7" s="127">
        <v>2.5999999999999999E-2</v>
      </c>
      <c r="F7"/>
      <c r="G7" s="19"/>
      <c r="H7" s="19"/>
      <c r="I7" s="19"/>
      <c r="J7" s="19"/>
    </row>
    <row r="8" spans="1:10" ht="18" customHeight="1" x14ac:dyDescent="0.2">
      <c r="A8" s="159" t="s">
        <v>66</v>
      </c>
      <c r="B8" s="125">
        <v>1.7500000000000002E-2</v>
      </c>
      <c r="C8" s="125">
        <v>0.02</v>
      </c>
      <c r="D8" s="125">
        <v>2.2499999999999999E-2</v>
      </c>
      <c r="E8" s="125">
        <v>2.5000000000000001E-2</v>
      </c>
      <c r="F8" s="143" t="s">
        <v>168</v>
      </c>
      <c r="G8" s="19"/>
      <c r="H8" s="19"/>
      <c r="I8" s="19"/>
      <c r="J8" s="19"/>
    </row>
    <row r="9" spans="1:10" ht="18" customHeight="1" thickBot="1" x14ac:dyDescent="0.25">
      <c r="A9" s="159" t="s">
        <v>128</v>
      </c>
      <c r="B9" s="128">
        <v>1.1900000000000001E-2</v>
      </c>
      <c r="C9" s="128">
        <v>1.1900000000000001E-2</v>
      </c>
      <c r="D9" s="128">
        <v>1.1900000000000001E-2</v>
      </c>
      <c r="E9" s="128">
        <v>1.1900000000000001E-2</v>
      </c>
      <c r="F9"/>
      <c r="G9" s="19"/>
      <c r="H9" s="19"/>
      <c r="I9" s="19"/>
      <c r="J9" s="19"/>
    </row>
    <row r="10" spans="1:10" x14ac:dyDescent="0.2">
      <c r="A10"/>
      <c r="B10"/>
      <c r="C10"/>
      <c r="D10"/>
      <c r="E10"/>
      <c r="F10"/>
    </row>
  </sheetData>
  <sheetProtection algorithmName="SHA-512" hashValue="kBlnzZMn1lZMfL9VyphpMkO2GJmr6lBu9wNnvgvCXogV8nDOZUGappXkw3SOloFjf0OtviulovWASAit3q1lkQ==" saltValue="RMtzX59evO9NIDm31UOVag==" spinCount="100000" sheet="1" formatCells="0" formatColumns="0" formatRows="0"/>
  <mergeCells count="2">
    <mergeCell ref="A1:E1"/>
    <mergeCell ref="B3:E3"/>
  </mergeCells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F22"/>
  <sheetViews>
    <sheetView showGridLines="0" tabSelected="1" zoomScale="85" zoomScaleNormal="100" workbookViewId="0">
      <selection activeCell="D28" sqref="D28"/>
    </sheetView>
  </sheetViews>
  <sheetFormatPr defaultColWidth="82.42578125" defaultRowHeight="12.75" x14ac:dyDescent="0.2"/>
  <cols>
    <col min="1" max="1" width="136" style="75" customWidth="1"/>
    <col min="2" max="2" width="24.7109375" style="14" customWidth="1"/>
    <col min="3" max="3" width="21.28515625" style="76" bestFit="1" customWidth="1"/>
    <col min="4" max="4" width="31" style="64" customWidth="1"/>
    <col min="5" max="5" width="16" style="64" customWidth="1"/>
    <col min="6" max="16384" width="82.42578125" style="64"/>
  </cols>
  <sheetData>
    <row r="1" spans="1:6" s="8" customFormat="1" ht="18.75" thickBot="1" x14ac:dyDescent="0.3">
      <c r="A1" s="58" t="s">
        <v>161</v>
      </c>
      <c r="B1" s="46"/>
      <c r="C1" s="47"/>
      <c r="D1" s="59"/>
      <c r="E1" s="60"/>
      <c r="F1" s="60"/>
    </row>
    <row r="2" spans="1:6" ht="13.5" thickBot="1" x14ac:dyDescent="0.25">
      <c r="A2" s="61"/>
      <c r="B2" s="62"/>
      <c r="C2" s="63"/>
      <c r="D2" s="23"/>
      <c r="E2" s="23"/>
      <c r="F2" s="23"/>
    </row>
    <row r="3" spans="1:6" ht="13.5" thickBot="1" x14ac:dyDescent="0.25">
      <c r="A3" s="65" t="s">
        <v>162</v>
      </c>
      <c r="B3" s="35">
        <f>B10+B13/B16</f>
        <v>141889.81248185132</v>
      </c>
      <c r="C3" s="66" t="s">
        <v>24</v>
      </c>
      <c r="D3" s="23"/>
      <c r="E3" s="23"/>
      <c r="F3" s="23"/>
    </row>
    <row r="4" spans="1:6" x14ac:dyDescent="0.2">
      <c r="A4" s="65"/>
      <c r="B4" s="67"/>
      <c r="C4" s="66"/>
      <c r="D4" s="23"/>
      <c r="E4" s="23"/>
      <c r="F4" s="23"/>
    </row>
    <row r="5" spans="1:6" x14ac:dyDescent="0.2">
      <c r="A5" s="65" t="s">
        <v>0</v>
      </c>
      <c r="B5" s="67"/>
      <c r="C5" s="66"/>
      <c r="D5" s="23"/>
      <c r="E5" s="23"/>
      <c r="F5" s="23"/>
    </row>
    <row r="6" spans="1:6" x14ac:dyDescent="0.2">
      <c r="A6" s="68"/>
      <c r="B6" s="67"/>
      <c r="C6" s="66"/>
      <c r="D6" s="23"/>
      <c r="E6" s="23"/>
      <c r="F6" s="23"/>
    </row>
    <row r="7" spans="1:6" x14ac:dyDescent="0.2">
      <c r="A7" s="65" t="s">
        <v>163</v>
      </c>
      <c r="B7" s="67"/>
      <c r="C7" s="66"/>
      <c r="D7" s="23"/>
      <c r="E7" s="23"/>
      <c r="F7" s="23"/>
    </row>
    <row r="8" spans="1:6" x14ac:dyDescent="0.2">
      <c r="A8" s="147" t="s">
        <v>164</v>
      </c>
      <c r="B8" s="67"/>
      <c r="C8" s="66"/>
      <c r="D8" s="23"/>
      <c r="E8" s="23"/>
      <c r="F8" s="23"/>
    </row>
    <row r="9" spans="1:6" ht="13.5" thickBot="1" x14ac:dyDescent="0.25">
      <c r="A9" s="68"/>
      <c r="B9" s="67"/>
      <c r="C9" s="66"/>
      <c r="D9" s="23"/>
      <c r="E9" s="23"/>
      <c r="F9" s="23"/>
    </row>
    <row r="10" spans="1:6" ht="13.5" thickBot="1" x14ac:dyDescent="0.25">
      <c r="A10" s="65" t="s">
        <v>83</v>
      </c>
      <c r="B10" s="35">
        <f>'ANNUALISED_FIXED_O&amp;M'!C149</f>
        <v>31168.014527213316</v>
      </c>
      <c r="C10" s="66" t="s">
        <v>24</v>
      </c>
      <c r="D10" s="23"/>
      <c r="E10" s="23"/>
      <c r="F10" s="23"/>
    </row>
    <row r="11" spans="1:6" ht="25.5" x14ac:dyDescent="0.2">
      <c r="A11" s="68" t="s">
        <v>84</v>
      </c>
      <c r="B11" s="67"/>
      <c r="C11" s="66"/>
      <c r="D11" s="23"/>
      <c r="E11" s="23"/>
      <c r="F11" s="23"/>
    </row>
    <row r="12" spans="1:6" ht="13.5" thickBot="1" x14ac:dyDescent="0.25">
      <c r="A12" s="68"/>
      <c r="B12" s="67"/>
      <c r="C12" s="66"/>
      <c r="D12" s="23"/>
      <c r="E12" s="23"/>
      <c r="F12" s="23"/>
    </row>
    <row r="13" spans="1:6" ht="13.5" thickBot="1" x14ac:dyDescent="0.25">
      <c r="A13" s="65" t="s">
        <v>85</v>
      </c>
      <c r="B13" s="35">
        <f>ANNUALISED_CAP_COST!B28</f>
        <v>16860715.392532274</v>
      </c>
      <c r="C13" s="66" t="s">
        <v>23</v>
      </c>
      <c r="D13" s="23"/>
      <c r="E13" s="23"/>
      <c r="F13" s="23"/>
    </row>
    <row r="14" spans="1:6" ht="25.5" x14ac:dyDescent="0.2">
      <c r="A14" s="68" t="s">
        <v>86</v>
      </c>
      <c r="B14" s="69"/>
      <c r="C14" s="66"/>
      <c r="D14" s="23"/>
      <c r="E14" s="70"/>
      <c r="F14" s="23"/>
    </row>
    <row r="15" spans="1:6" ht="13.5" thickBot="1" x14ac:dyDescent="0.25">
      <c r="A15" s="68"/>
      <c r="B15" s="69"/>
      <c r="C15" s="66"/>
      <c r="D15" s="23"/>
      <c r="E15" s="70"/>
      <c r="F15" s="23"/>
    </row>
    <row r="16" spans="1:6" ht="13.5" thickBot="1" x14ac:dyDescent="0.25">
      <c r="A16" s="65" t="s">
        <v>87</v>
      </c>
      <c r="B16" s="104">
        <f>PC!C4</f>
        <v>152.28</v>
      </c>
      <c r="C16" s="66" t="s">
        <v>18</v>
      </c>
      <c r="D16" s="71"/>
      <c r="E16" s="70"/>
      <c r="F16" s="23"/>
    </row>
    <row r="17" spans="1:6" x14ac:dyDescent="0.2">
      <c r="A17" s="68" t="s">
        <v>111</v>
      </c>
      <c r="B17" s="69"/>
      <c r="C17" s="66"/>
      <c r="D17" s="23"/>
      <c r="E17" s="70"/>
      <c r="F17" s="23"/>
    </row>
    <row r="18" spans="1:6" ht="13.5" thickBot="1" x14ac:dyDescent="0.25">
      <c r="A18" s="72"/>
      <c r="B18" s="73"/>
      <c r="C18" s="74"/>
    </row>
    <row r="22" spans="1:6" x14ac:dyDescent="0.2">
      <c r="B22" s="18"/>
    </row>
  </sheetData>
  <sheetProtection algorithmName="SHA-512" hashValue="Mjm1kOpX2a/xrMqXEoIbjAbbkQukjM8E9HPu3DngR624BjQJ/GA47Edw9T1e2UjcgzcAddlayLAjztoZOse7Fw==" saltValue="JHDl/ur1AjOlI36v2L63Hg==" spinCount="100000" sheet="1" objects="1" scenarios="1"/>
  <phoneticPr fontId="4" type="noConversion"/>
  <pageMargins left="0.75" right="0.75" top="1" bottom="1" header="0.5" footer="0.5"/>
  <pageSetup paperSize="9" scale="7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C37"/>
  <sheetViews>
    <sheetView showGridLines="0" zoomScaleNormal="80" workbookViewId="0">
      <selection activeCell="D31" sqref="D31"/>
    </sheetView>
  </sheetViews>
  <sheetFormatPr defaultColWidth="9.140625" defaultRowHeight="12.75" x14ac:dyDescent="0.2"/>
  <cols>
    <col min="1" max="1" width="102.7109375" style="19" customWidth="1"/>
    <col min="2" max="2" width="17" style="24" customWidth="1"/>
    <col min="3" max="3" width="19.140625" style="48" customWidth="1"/>
    <col min="4" max="16384" width="9.140625" style="19"/>
  </cols>
  <sheetData>
    <row r="1" spans="1:3" s="8" customFormat="1" ht="18.75" thickBot="1" x14ac:dyDescent="0.3">
      <c r="A1" s="6" t="s">
        <v>85</v>
      </c>
      <c r="B1" s="46"/>
      <c r="C1" s="47"/>
    </row>
    <row r="2" spans="1:3" x14ac:dyDescent="0.2">
      <c r="A2" s="26"/>
    </row>
    <row r="3" spans="1:3" x14ac:dyDescent="0.2">
      <c r="A3" s="24" t="s">
        <v>88</v>
      </c>
      <c r="B3" s="42">
        <f>PC!C16</f>
        <v>859629.34705460432</v>
      </c>
      <c r="C3" s="48" t="s">
        <v>21</v>
      </c>
    </row>
    <row r="4" spans="1:3" ht="25.5" x14ac:dyDescent="0.2">
      <c r="A4" s="49" t="s">
        <v>118</v>
      </c>
    </row>
    <row r="5" spans="1:3" x14ac:dyDescent="0.2">
      <c r="A5" s="26"/>
    </row>
    <row r="6" spans="1:3" x14ac:dyDescent="0.2">
      <c r="A6" s="24" t="s">
        <v>16</v>
      </c>
      <c r="B6" s="50">
        <f>M!B3</f>
        <v>0.17163930368652619</v>
      </c>
      <c r="C6" s="48" t="s">
        <v>17</v>
      </c>
    </row>
    <row r="7" spans="1:3" x14ac:dyDescent="0.2">
      <c r="A7" s="49" t="s">
        <v>117</v>
      </c>
    </row>
    <row r="8" spans="1:3" x14ac:dyDescent="0.2">
      <c r="A8" s="49"/>
    </row>
    <row r="9" spans="1:3" x14ac:dyDescent="0.2">
      <c r="A9" s="24" t="s">
        <v>87</v>
      </c>
      <c r="B9" s="105">
        <f>PC!C4</f>
        <v>152.28</v>
      </c>
      <c r="C9" s="48" t="s">
        <v>18</v>
      </c>
    </row>
    <row r="10" spans="1:3" x14ac:dyDescent="0.2">
      <c r="A10" s="49" t="s">
        <v>119</v>
      </c>
    </row>
    <row r="11" spans="1:3" x14ac:dyDescent="0.2">
      <c r="A11" s="26"/>
    </row>
    <row r="12" spans="1:3" x14ac:dyDescent="0.2">
      <c r="A12" s="24" t="s">
        <v>89</v>
      </c>
      <c r="B12" s="42">
        <f>TC!B11</f>
        <v>181760</v>
      </c>
      <c r="C12" s="48" t="s">
        <v>22</v>
      </c>
    </row>
    <row r="13" spans="1:3" x14ac:dyDescent="0.2">
      <c r="A13" s="49" t="s">
        <v>120</v>
      </c>
    </row>
    <row r="14" spans="1:3" x14ac:dyDescent="0.2">
      <c r="A14" s="26"/>
    </row>
    <row r="15" spans="1:3" x14ac:dyDescent="0.2">
      <c r="A15" s="24" t="s">
        <v>90</v>
      </c>
      <c r="B15" s="42">
        <f>FFC!C18</f>
        <v>7213563.7996095791</v>
      </c>
      <c r="C15" s="48" t="s">
        <v>22</v>
      </c>
    </row>
    <row r="16" spans="1:3" x14ac:dyDescent="0.2">
      <c r="A16" s="49" t="s">
        <v>121</v>
      </c>
    </row>
    <row r="17" spans="1:3" x14ac:dyDescent="0.2">
      <c r="A17" s="26"/>
    </row>
    <row r="18" spans="1:3" x14ac:dyDescent="0.2">
      <c r="A18" s="24" t="s">
        <v>91</v>
      </c>
      <c r="B18" s="42">
        <f>LC!E22</f>
        <v>2536249.7758095991</v>
      </c>
      <c r="C18" s="48" t="s">
        <v>22</v>
      </c>
    </row>
    <row r="19" spans="1:3" x14ac:dyDescent="0.2">
      <c r="A19" s="26" t="s">
        <v>122</v>
      </c>
    </row>
    <row r="20" spans="1:3" x14ac:dyDescent="0.2">
      <c r="A20" s="26"/>
    </row>
    <row r="21" spans="1:3" x14ac:dyDescent="0.2">
      <c r="A21" s="24" t="s">
        <v>14</v>
      </c>
      <c r="B21" s="51">
        <f>WACC!B21</f>
        <v>3.5054645841999577E-2</v>
      </c>
      <c r="C21" s="48" t="s">
        <v>17</v>
      </c>
    </row>
    <row r="22" spans="1:3" x14ac:dyDescent="0.2">
      <c r="A22" s="26" t="s">
        <v>123</v>
      </c>
    </row>
    <row r="23" spans="1:3" x14ac:dyDescent="0.2">
      <c r="A23" s="26"/>
    </row>
    <row r="24" spans="1:3" x14ac:dyDescent="0.2">
      <c r="A24" s="24" t="s">
        <v>92</v>
      </c>
      <c r="B24" s="42">
        <f>(B3*(1+B6)*B9+B12*B9+B15+B18)*(1+B21)^0.5</f>
        <v>194116340.30038357</v>
      </c>
      <c r="C24" s="48" t="s">
        <v>22</v>
      </c>
    </row>
    <row r="25" spans="1:3" x14ac:dyDescent="0.2">
      <c r="A25" s="52"/>
      <c r="B25" s="53"/>
      <c r="C25" s="54"/>
    </row>
    <row r="26" spans="1:3" ht="13.5" thickBot="1" x14ac:dyDescent="0.25">
      <c r="A26" s="24" t="s">
        <v>14</v>
      </c>
      <c r="B26" s="51">
        <f>WACC!B21</f>
        <v>3.5054645841999577E-2</v>
      </c>
      <c r="C26" s="48" t="s">
        <v>17</v>
      </c>
    </row>
    <row r="27" spans="1:3" ht="13.5" thickBot="1" x14ac:dyDescent="0.25">
      <c r="A27" s="24" t="s">
        <v>15</v>
      </c>
      <c r="B27" s="57">
        <v>15</v>
      </c>
      <c r="C27" s="48" t="s">
        <v>19</v>
      </c>
    </row>
    <row r="28" spans="1:3" x14ac:dyDescent="0.2">
      <c r="A28" s="24" t="s">
        <v>85</v>
      </c>
      <c r="B28" s="55">
        <f>-PMT(B26,B27,B24)</f>
        <v>16860715.392532274</v>
      </c>
      <c r="C28" s="48" t="s">
        <v>23</v>
      </c>
    </row>
    <row r="29" spans="1:3" x14ac:dyDescent="0.2">
      <c r="A29" s="26"/>
    </row>
    <row r="30" spans="1:3" x14ac:dyDescent="0.2">
      <c r="A30" s="56" t="s">
        <v>93</v>
      </c>
    </row>
    <row r="31" spans="1:3" x14ac:dyDescent="0.2">
      <c r="A31" s="56" t="s">
        <v>116</v>
      </c>
    </row>
    <row r="37" spans="1:1" x14ac:dyDescent="0.2">
      <c r="A37" s="19" t="s">
        <v>97</v>
      </c>
    </row>
  </sheetData>
  <sheetProtection algorithmName="SHA-512" hashValue="oQGuLFRL2NzKr0qS5KNFaLOaP5A/Yoc/qN3JRnRKfGz8q6RX9HqlxEna6k7Y4RTp6Q71YHhvUE439wuxfoTUvQ==" saltValue="j3rNTjTDOfw/kO4zCe4PcQ==" spinCount="100000" sheet="1" objects="1" scenarios="1"/>
  <phoneticPr fontId="4" type="noConversion"/>
  <pageMargins left="0.75" right="0.75" top="1" bottom="1" header="0.5" footer="0.5"/>
  <pageSetup paperSize="9" scale="94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Q150"/>
  <sheetViews>
    <sheetView showGridLines="0" topLeftCell="A112" zoomScale="85" zoomScaleNormal="85" workbookViewId="0">
      <selection activeCell="F131" sqref="F131"/>
    </sheetView>
  </sheetViews>
  <sheetFormatPr defaultColWidth="9.140625" defaultRowHeight="12.75" x14ac:dyDescent="0.2"/>
  <cols>
    <col min="1" max="1" width="74.5703125" style="9" bestFit="1" customWidth="1"/>
    <col min="2" max="2" width="26.28515625" style="9" customWidth="1"/>
    <col min="3" max="3" width="20.140625" style="9" customWidth="1"/>
    <col min="4" max="4" width="20" style="9" customWidth="1"/>
    <col min="5" max="5" width="16.28515625" style="9" bestFit="1" customWidth="1"/>
    <col min="6" max="9" width="15.85546875" style="9" bestFit="1" customWidth="1"/>
    <col min="10" max="10" width="16.28515625" style="9" bestFit="1" customWidth="1"/>
    <col min="11" max="11" width="15.85546875" style="9" bestFit="1" customWidth="1"/>
    <col min="12" max="12" width="16.28515625" style="9" bestFit="1" customWidth="1"/>
    <col min="13" max="15" width="15.85546875" style="9" bestFit="1" customWidth="1"/>
    <col min="16" max="16" width="15.42578125" style="9" bestFit="1" customWidth="1"/>
    <col min="17" max="17" width="15.85546875" style="9" bestFit="1" customWidth="1"/>
    <col min="18" max="18" width="13" style="9" bestFit="1" customWidth="1"/>
    <col min="19" max="19" width="15.85546875" style="9" bestFit="1" customWidth="1"/>
    <col min="20" max="16384" width="9.140625" style="9"/>
  </cols>
  <sheetData>
    <row r="1" spans="1:5" s="8" customFormat="1" ht="18.75" thickBot="1" x14ac:dyDescent="0.3">
      <c r="A1" s="6" t="s">
        <v>83</v>
      </c>
      <c r="B1" s="46"/>
      <c r="C1" s="7"/>
    </row>
    <row r="2" spans="1:5" ht="13.5" thickBot="1" x14ac:dyDescent="0.25"/>
    <row r="3" spans="1:5" ht="18.75" customHeight="1" thickBot="1" x14ac:dyDescent="0.3">
      <c r="A3" s="6" t="s">
        <v>32</v>
      </c>
      <c r="B3" s="46"/>
      <c r="C3" s="10"/>
    </row>
    <row r="4" spans="1:5" ht="13.5" customHeight="1" thickBot="1" x14ac:dyDescent="0.25"/>
    <row r="5" spans="1:5" ht="13.5" thickBot="1" x14ac:dyDescent="0.25">
      <c r="A5" s="36" t="s">
        <v>74</v>
      </c>
      <c r="B5" s="95"/>
      <c r="C5" s="37"/>
    </row>
    <row r="6" spans="1:5" ht="13.5" thickBot="1" x14ac:dyDescent="0.25">
      <c r="A6" s="11" t="s">
        <v>36</v>
      </c>
      <c r="B6" s="96"/>
      <c r="C6" s="2">
        <v>10457130</v>
      </c>
      <c r="E6" s="19"/>
    </row>
    <row r="7" spans="1:5" ht="13.5" thickBot="1" x14ac:dyDescent="0.25">
      <c r="A7" s="12" t="s">
        <v>34</v>
      </c>
      <c r="B7" s="97"/>
      <c r="C7" s="2">
        <v>10457130</v>
      </c>
      <c r="E7" s="19"/>
    </row>
    <row r="8" spans="1:5" ht="13.5" thickBot="1" x14ac:dyDescent="0.25">
      <c r="A8" s="12" t="s">
        <v>35</v>
      </c>
      <c r="B8" s="97"/>
      <c r="C8" s="2">
        <v>10457130</v>
      </c>
      <c r="E8" s="19"/>
    </row>
    <row r="9" spans="1:5" ht="13.5" thickBot="1" x14ac:dyDescent="0.25">
      <c r="A9" s="28" t="s">
        <v>99</v>
      </c>
      <c r="B9" s="63"/>
      <c r="C9" s="2">
        <v>10457130</v>
      </c>
      <c r="E9" s="19"/>
    </row>
    <row r="10" spans="1:5" ht="13.5" thickBot="1" x14ac:dyDescent="0.25">
      <c r="A10" s="12" t="s">
        <v>37</v>
      </c>
      <c r="B10" s="97"/>
      <c r="C10" s="2">
        <v>10457130</v>
      </c>
      <c r="E10" s="19"/>
    </row>
    <row r="11" spans="1:5" ht="13.5" thickBot="1" x14ac:dyDescent="0.25">
      <c r="A11" s="25" t="s">
        <v>38</v>
      </c>
      <c r="B11" s="97"/>
      <c r="C11" s="2">
        <v>10457130</v>
      </c>
      <c r="E11" s="19"/>
    </row>
    <row r="12" spans="1:5" ht="13.5" thickBot="1" x14ac:dyDescent="0.25">
      <c r="A12" s="12" t="s">
        <v>39</v>
      </c>
      <c r="B12" s="97"/>
      <c r="C12" s="2">
        <v>10457130</v>
      </c>
      <c r="E12" s="19"/>
    </row>
    <row r="13" spans="1:5" ht="13.5" thickBot="1" x14ac:dyDescent="0.25">
      <c r="A13" s="12" t="s">
        <v>40</v>
      </c>
      <c r="B13" s="97"/>
      <c r="C13" s="2">
        <v>10457130</v>
      </c>
      <c r="E13" s="19"/>
    </row>
    <row r="14" spans="1:5" ht="13.5" thickBot="1" x14ac:dyDescent="0.25">
      <c r="A14" s="12" t="s">
        <v>41</v>
      </c>
      <c r="B14" s="97"/>
      <c r="C14" s="2">
        <v>10457130</v>
      </c>
      <c r="E14" s="19"/>
    </row>
    <row r="15" spans="1:5" ht="13.5" thickBot="1" x14ac:dyDescent="0.25">
      <c r="A15" s="13" t="s">
        <v>42</v>
      </c>
      <c r="B15" s="98"/>
      <c r="C15" s="2">
        <v>10457130</v>
      </c>
    </row>
    <row r="16" spans="1:5" ht="13.5" thickBot="1" x14ac:dyDescent="0.25"/>
    <row r="17" spans="1:17" ht="13.5" thickBot="1" x14ac:dyDescent="0.25">
      <c r="A17" s="14" t="s">
        <v>43</v>
      </c>
      <c r="B17" s="14"/>
      <c r="C17" s="15">
        <v>1</v>
      </c>
      <c r="D17" s="38">
        <f>C17+1</f>
        <v>2</v>
      </c>
      <c r="E17" s="38">
        <f t="shared" ref="E17:Q17" si="0">D17+1</f>
        <v>3</v>
      </c>
      <c r="F17" s="38">
        <f t="shared" si="0"/>
        <v>4</v>
      </c>
      <c r="G17" s="38">
        <f t="shared" si="0"/>
        <v>5</v>
      </c>
      <c r="H17" s="38">
        <f t="shared" si="0"/>
        <v>6</v>
      </c>
      <c r="I17" s="38">
        <f t="shared" si="0"/>
        <v>7</v>
      </c>
      <c r="J17" s="38">
        <f t="shared" si="0"/>
        <v>8</v>
      </c>
      <c r="K17" s="38">
        <f t="shared" si="0"/>
        <v>9</v>
      </c>
      <c r="L17" s="38">
        <f t="shared" si="0"/>
        <v>10</v>
      </c>
      <c r="M17" s="38">
        <f t="shared" si="0"/>
        <v>11</v>
      </c>
      <c r="N17" s="38">
        <f t="shared" si="0"/>
        <v>12</v>
      </c>
      <c r="O17" s="38">
        <f t="shared" si="0"/>
        <v>13</v>
      </c>
      <c r="P17" s="38">
        <f t="shared" si="0"/>
        <v>14</v>
      </c>
      <c r="Q17" s="38">
        <f t="shared" si="0"/>
        <v>15</v>
      </c>
    </row>
    <row r="18" spans="1:17" ht="13.5" thickBot="1" x14ac:dyDescent="0.25">
      <c r="A18" s="14" t="s">
        <v>44</v>
      </c>
      <c r="B18" s="14"/>
      <c r="C18" s="15">
        <v>5</v>
      </c>
      <c r="D18" s="38">
        <f>C18</f>
        <v>5</v>
      </c>
      <c r="E18" s="38">
        <f t="shared" ref="E18:Q19" si="1">D18</f>
        <v>5</v>
      </c>
      <c r="F18" s="38">
        <f t="shared" si="1"/>
        <v>5</v>
      </c>
      <c r="G18" s="38">
        <f t="shared" si="1"/>
        <v>5</v>
      </c>
      <c r="H18" s="38">
        <f t="shared" si="1"/>
        <v>5</v>
      </c>
      <c r="I18" s="38">
        <f t="shared" si="1"/>
        <v>5</v>
      </c>
      <c r="J18" s="38">
        <f t="shared" si="1"/>
        <v>5</v>
      </c>
      <c r="K18" s="38">
        <f t="shared" si="1"/>
        <v>5</v>
      </c>
      <c r="L18" s="38">
        <f t="shared" si="1"/>
        <v>5</v>
      </c>
      <c r="M18" s="38">
        <f t="shared" si="1"/>
        <v>5</v>
      </c>
      <c r="N18" s="38">
        <f t="shared" si="1"/>
        <v>5</v>
      </c>
      <c r="O18" s="38">
        <f t="shared" si="1"/>
        <v>5</v>
      </c>
      <c r="P18" s="38">
        <f t="shared" si="1"/>
        <v>5</v>
      </c>
      <c r="Q18" s="38">
        <f t="shared" si="1"/>
        <v>5</v>
      </c>
    </row>
    <row r="19" spans="1:17" ht="13.5" thickBot="1" x14ac:dyDescent="0.25">
      <c r="A19" s="14" t="s">
        <v>48</v>
      </c>
      <c r="B19" s="14"/>
      <c r="C19" s="40">
        <f>C6</f>
        <v>10457130</v>
      </c>
      <c r="D19" s="39">
        <f>C19</f>
        <v>10457130</v>
      </c>
      <c r="E19" s="39">
        <f>D19</f>
        <v>10457130</v>
      </c>
      <c r="F19" s="39">
        <f>E19</f>
        <v>10457130</v>
      </c>
      <c r="G19" s="39">
        <f>F19</f>
        <v>10457130</v>
      </c>
      <c r="H19" s="40">
        <f>C7</f>
        <v>10457130</v>
      </c>
      <c r="I19" s="39">
        <f>H19</f>
        <v>10457130</v>
      </c>
      <c r="J19" s="39">
        <f t="shared" si="1"/>
        <v>10457130</v>
      </c>
      <c r="K19" s="39">
        <f t="shared" si="1"/>
        <v>10457130</v>
      </c>
      <c r="L19" s="39">
        <f t="shared" si="1"/>
        <v>10457130</v>
      </c>
      <c r="M19" s="40">
        <f>C8</f>
        <v>10457130</v>
      </c>
      <c r="N19" s="39">
        <f>M19</f>
        <v>10457130</v>
      </c>
      <c r="O19" s="39">
        <f t="shared" si="1"/>
        <v>10457130</v>
      </c>
      <c r="P19" s="39">
        <f t="shared" si="1"/>
        <v>10457130</v>
      </c>
      <c r="Q19" s="39">
        <f t="shared" si="1"/>
        <v>10457130</v>
      </c>
    </row>
    <row r="20" spans="1:17" x14ac:dyDescent="0.2">
      <c r="A20" s="14" t="s">
        <v>45</v>
      </c>
      <c r="B20" s="14"/>
      <c r="C20" s="39">
        <f>C19/C18</f>
        <v>2091426</v>
      </c>
      <c r="D20" s="39">
        <f t="shared" ref="D20:Q20" si="2">D19/D18</f>
        <v>2091426</v>
      </c>
      <c r="E20" s="39">
        <f t="shared" si="2"/>
        <v>2091426</v>
      </c>
      <c r="F20" s="39">
        <f t="shared" si="2"/>
        <v>2091426</v>
      </c>
      <c r="G20" s="39">
        <f t="shared" si="2"/>
        <v>2091426</v>
      </c>
      <c r="H20" s="39">
        <f t="shared" si="2"/>
        <v>2091426</v>
      </c>
      <c r="I20" s="39">
        <f t="shared" si="2"/>
        <v>2091426</v>
      </c>
      <c r="J20" s="39">
        <f t="shared" si="2"/>
        <v>2091426</v>
      </c>
      <c r="K20" s="39">
        <f t="shared" si="2"/>
        <v>2091426</v>
      </c>
      <c r="L20" s="39">
        <f t="shared" si="2"/>
        <v>2091426</v>
      </c>
      <c r="M20" s="39">
        <f t="shared" si="2"/>
        <v>2091426</v>
      </c>
      <c r="N20" s="39">
        <f t="shared" si="2"/>
        <v>2091426</v>
      </c>
      <c r="O20" s="39">
        <f t="shared" si="2"/>
        <v>2091426</v>
      </c>
      <c r="P20" s="39">
        <f t="shared" si="2"/>
        <v>2091426</v>
      </c>
      <c r="Q20" s="39">
        <f t="shared" si="2"/>
        <v>2091426</v>
      </c>
    </row>
    <row r="21" spans="1:17" x14ac:dyDescent="0.2">
      <c r="A21" s="14" t="s">
        <v>14</v>
      </c>
      <c r="B21" s="14"/>
      <c r="C21" s="41">
        <f>WACC!B21</f>
        <v>3.5054645841999577E-2</v>
      </c>
      <c r="D21" s="41">
        <f>C21</f>
        <v>3.5054645841999577E-2</v>
      </c>
      <c r="E21" s="41">
        <f t="shared" ref="E21:Q21" si="3">D21</f>
        <v>3.5054645841999577E-2</v>
      </c>
      <c r="F21" s="41">
        <f t="shared" si="3"/>
        <v>3.5054645841999577E-2</v>
      </c>
      <c r="G21" s="41">
        <f t="shared" si="3"/>
        <v>3.5054645841999577E-2</v>
      </c>
      <c r="H21" s="41">
        <f t="shared" si="3"/>
        <v>3.5054645841999577E-2</v>
      </c>
      <c r="I21" s="41">
        <f t="shared" si="3"/>
        <v>3.5054645841999577E-2</v>
      </c>
      <c r="J21" s="41">
        <f t="shared" si="3"/>
        <v>3.5054645841999577E-2</v>
      </c>
      <c r="K21" s="41">
        <f t="shared" si="3"/>
        <v>3.5054645841999577E-2</v>
      </c>
      <c r="L21" s="41">
        <f t="shared" si="3"/>
        <v>3.5054645841999577E-2</v>
      </c>
      <c r="M21" s="41">
        <f t="shared" si="3"/>
        <v>3.5054645841999577E-2</v>
      </c>
      <c r="N21" s="41">
        <f t="shared" si="3"/>
        <v>3.5054645841999577E-2</v>
      </c>
      <c r="O21" s="41">
        <f t="shared" si="3"/>
        <v>3.5054645841999577E-2</v>
      </c>
      <c r="P21" s="41">
        <f t="shared" si="3"/>
        <v>3.5054645841999577E-2</v>
      </c>
      <c r="Q21" s="41">
        <f t="shared" si="3"/>
        <v>3.5054645841999577E-2</v>
      </c>
    </row>
    <row r="22" spans="1:17" x14ac:dyDescent="0.2">
      <c r="A22" s="14" t="s">
        <v>46</v>
      </c>
      <c r="B22" s="14"/>
      <c r="C22" s="38">
        <f>C20/(1+C21)^C17</f>
        <v>2020594.7660847027</v>
      </c>
      <c r="D22" s="38">
        <f>D20/(1+D21)^D17</f>
        <v>1952162.4043733294</v>
      </c>
      <c r="E22" s="38">
        <f>E20/(1+E21)^E17</f>
        <v>1886047.6712176658</v>
      </c>
      <c r="F22" s="38">
        <f>F20/(1+F21)^F17</f>
        <v>1822172.0744834661</v>
      </c>
      <c r="G22" s="38">
        <f t="shared" ref="G22:Q22" si="4">G20/(1+G21)^G17</f>
        <v>1760459.7803637313</v>
      </c>
      <c r="H22" s="38">
        <f t="shared" si="4"/>
        <v>1700837.5233479841</v>
      </c>
      <c r="I22" s="38">
        <f t="shared" si="4"/>
        <v>1643234.5192406543</v>
      </c>
      <c r="J22" s="38">
        <f t="shared" si="4"/>
        <v>1587582.3811253081</v>
      </c>
      <c r="K22" s="38">
        <f t="shared" si="4"/>
        <v>1533815.0381749519</v>
      </c>
      <c r="L22" s="38">
        <f t="shared" si="4"/>
        <v>1481868.657212025</v>
      </c>
      <c r="M22" s="38">
        <f t="shared" si="4"/>
        <v>1431681.5669249517</v>
      </c>
      <c r="N22" s="38">
        <f t="shared" si="4"/>
        <v>1383194.1846512875</v>
      </c>
      <c r="O22" s="38">
        <f t="shared" si="4"/>
        <v>1336348.9456405293</v>
      </c>
      <c r="P22" s="38">
        <f t="shared" si="4"/>
        <v>1291090.2347126144</v>
      </c>
      <c r="Q22" s="38">
        <f t="shared" si="4"/>
        <v>1247364.3202309711</v>
      </c>
    </row>
    <row r="23" spans="1:17" x14ac:dyDescent="0.2">
      <c r="A23" s="14" t="s">
        <v>47</v>
      </c>
      <c r="B23" s="14"/>
      <c r="C23" s="42">
        <f>SUM(C22:Q22)</f>
        <v>24078454.067784179</v>
      </c>
      <c r="D23" s="45"/>
    </row>
    <row r="24" spans="1:17" x14ac:dyDescent="0.2">
      <c r="A24" s="14" t="s">
        <v>50</v>
      </c>
      <c r="B24" s="14"/>
      <c r="C24" s="42">
        <f>-PMT(C21,ANNUALISED_CAP_COST!$B$27,C23)</f>
        <v>2091426</v>
      </c>
      <c r="D24" s="45"/>
      <c r="E24" s="19"/>
    </row>
    <row r="25" spans="1:17" ht="13.5" thickBot="1" x14ac:dyDescent="0.25">
      <c r="A25" s="14" t="s">
        <v>67</v>
      </c>
      <c r="B25" s="14"/>
      <c r="C25" s="77" t="s">
        <v>104</v>
      </c>
      <c r="E25" s="19"/>
    </row>
    <row r="26" spans="1:17" s="19" customFormat="1" ht="13.5" thickBot="1" x14ac:dyDescent="0.25">
      <c r="A26" s="20" t="s">
        <v>112</v>
      </c>
      <c r="B26" s="20"/>
      <c r="C26" s="31">
        <v>43646</v>
      </c>
      <c r="D26" s="9"/>
    </row>
    <row r="27" spans="1:17" s="19" customFormat="1" ht="13.5" thickBot="1" x14ac:dyDescent="0.25">
      <c r="A27" s="20" t="s">
        <v>113</v>
      </c>
      <c r="B27" s="20"/>
      <c r="C27" s="32">
        <v>44835</v>
      </c>
    </row>
    <row r="28" spans="1:17" ht="13.5" thickBot="1" x14ac:dyDescent="0.25">
      <c r="D28" s="20"/>
      <c r="E28" s="20"/>
    </row>
    <row r="29" spans="1:17" ht="13.5" thickBot="1" x14ac:dyDescent="0.25">
      <c r="A29" s="14" t="s">
        <v>131</v>
      </c>
      <c r="B29" s="92">
        <f>ESCALATION_FACTORS!$B$4</f>
        <v>44012</v>
      </c>
      <c r="C29" s="101">
        <f>VLOOKUP($C$25,ESCALATION_FACTORS!$A$5:$E$9,2,)</f>
        <v>0.04</v>
      </c>
    </row>
    <row r="30" spans="1:17" ht="13.5" thickBot="1" x14ac:dyDescent="0.25">
      <c r="A30" s="20"/>
      <c r="B30" s="92">
        <f>ESCALATION_FACTORS!$C$4</f>
        <v>44377</v>
      </c>
      <c r="C30" s="101">
        <f>VLOOKUP($C$25,ESCALATION_FACTORS!$A$5:$E$9,3,)</f>
        <v>4.0000000000000001E-3</v>
      </c>
    </row>
    <row r="31" spans="1:17" ht="13.5" thickBot="1" x14ac:dyDescent="0.25">
      <c r="A31" s="20"/>
      <c r="B31" s="92">
        <f>ESCALATION_FACTORS!$D$4</f>
        <v>44742</v>
      </c>
      <c r="C31" s="101">
        <f>VLOOKUP($C$25,ESCALATION_FACTORS!$A$5:$E$9,4,)</f>
        <v>1.2999999999999999E-2</v>
      </c>
    </row>
    <row r="32" spans="1:17" ht="13.5" thickBot="1" x14ac:dyDescent="0.25">
      <c r="B32" s="92">
        <f>ESCALATION_FACTORS!$E$4</f>
        <v>45107</v>
      </c>
      <c r="C32" s="101">
        <f>VLOOKUP($C$25,ESCALATION_FACTORS!$A$5:$E$9,5,)</f>
        <v>0.02</v>
      </c>
    </row>
    <row r="33" spans="1:5" s="19" customFormat="1" ht="13.5" thickBot="1" x14ac:dyDescent="0.25">
      <c r="A33" s="20"/>
      <c r="B33" s="20"/>
      <c r="C33" s="20"/>
      <c r="D33" s="20"/>
      <c r="E33" s="20"/>
    </row>
    <row r="34" spans="1:5" ht="13.5" thickBot="1" x14ac:dyDescent="0.25">
      <c r="A34" s="14" t="s">
        <v>49</v>
      </c>
      <c r="B34" s="14"/>
      <c r="C34" s="87">
        <f>(C24*IF(C26&lt;=B29,(1+C29)^((MIN(C27,B29)-MAX(C26,DATE(YEAR(B29)-1,6,30)))/(B29-DATE(YEAR(B29)-1,6,30))),1)*IF(AND(C26&lt;=B30,C27&gt;=B29),(1+C30)^((MIN(C27,B30)-MAX(C26,B29))/(B30-B29)),1)*IF(AND(C26&lt;=B31,C27&gt;=B30),(1+C31)^((MIN(C27,B31)-MAX(C26,B30))/(B31-B30)),1)*IF(C27&gt;=B31,(1+C32)^((MIN(C27,B32)-MAX(C26,B31))/(B32-B31)),1))/BRCP_Calculation!B16</f>
        <v>14600.489244551365</v>
      </c>
      <c r="D34" s="9" t="s">
        <v>53</v>
      </c>
    </row>
    <row r="35" spans="1:5" x14ac:dyDescent="0.2">
      <c r="C35" s="17"/>
    </row>
    <row r="36" spans="1:5" ht="13.5" thickBot="1" x14ac:dyDescent="0.25"/>
    <row r="37" spans="1:5" ht="18.75" thickBot="1" x14ac:dyDescent="0.3">
      <c r="A37" s="9" t="s">
        <v>33</v>
      </c>
      <c r="B37" s="46"/>
      <c r="C37" s="10"/>
    </row>
    <row r="38" spans="1:5" ht="13.5" thickBot="1" x14ac:dyDescent="0.25"/>
    <row r="39" spans="1:5" ht="13.5" thickBot="1" x14ac:dyDescent="0.25">
      <c r="A39" s="36" t="s">
        <v>73</v>
      </c>
      <c r="B39" s="95"/>
      <c r="C39" s="37"/>
    </row>
    <row r="40" spans="1:5" ht="13.5" thickBot="1" x14ac:dyDescent="0.25">
      <c r="A40" s="12" t="s">
        <v>36</v>
      </c>
      <c r="B40" s="96"/>
      <c r="C40" s="122">
        <v>387270</v>
      </c>
      <c r="E40" s="19"/>
    </row>
    <row r="41" spans="1:5" ht="13.5" thickBot="1" x14ac:dyDescent="0.25">
      <c r="A41" s="12" t="s">
        <v>34</v>
      </c>
      <c r="B41" s="97"/>
      <c r="C41" s="122">
        <v>387270</v>
      </c>
      <c r="E41" s="19"/>
    </row>
    <row r="42" spans="1:5" ht="13.5" thickBot="1" x14ac:dyDescent="0.25">
      <c r="A42" s="12" t="s">
        <v>35</v>
      </c>
      <c r="B42" s="97"/>
      <c r="C42" s="122">
        <v>387270</v>
      </c>
      <c r="E42" s="19"/>
    </row>
    <row r="43" spans="1:5" ht="13.5" thickBot="1" x14ac:dyDescent="0.25">
      <c r="A43" s="12" t="s">
        <v>99</v>
      </c>
      <c r="B43" s="97"/>
      <c r="C43" s="122">
        <v>387270</v>
      </c>
      <c r="E43" s="19"/>
    </row>
    <row r="44" spans="1:5" ht="13.5" thickBot="1" x14ac:dyDescent="0.25">
      <c r="A44" s="12" t="s">
        <v>37</v>
      </c>
      <c r="B44" s="97"/>
      <c r="C44" s="122">
        <v>387270</v>
      </c>
      <c r="E44" s="19"/>
    </row>
    <row r="45" spans="1:5" ht="13.5" thickBot="1" x14ac:dyDescent="0.25">
      <c r="A45" s="12" t="s">
        <v>38</v>
      </c>
      <c r="B45" s="97"/>
      <c r="C45" s="122">
        <v>387270</v>
      </c>
      <c r="E45" s="19"/>
    </row>
    <row r="46" spans="1:5" ht="13.5" thickBot="1" x14ac:dyDescent="0.25">
      <c r="A46" s="12" t="s">
        <v>39</v>
      </c>
      <c r="B46" s="97"/>
      <c r="C46" s="122">
        <v>387270</v>
      </c>
      <c r="E46" s="19"/>
    </row>
    <row r="47" spans="1:5" ht="13.5" thickBot="1" x14ac:dyDescent="0.25">
      <c r="A47" s="12" t="s">
        <v>40</v>
      </c>
      <c r="B47" s="97"/>
      <c r="C47" s="122">
        <v>387270</v>
      </c>
      <c r="E47" s="19"/>
    </row>
    <row r="48" spans="1:5" ht="13.5" thickBot="1" x14ac:dyDescent="0.25">
      <c r="A48" s="12" t="s">
        <v>41</v>
      </c>
      <c r="B48" s="97"/>
      <c r="C48" s="122">
        <v>387270</v>
      </c>
      <c r="E48" s="19"/>
    </row>
    <row r="49" spans="1:17" ht="13.5" thickBot="1" x14ac:dyDescent="0.25">
      <c r="A49" s="13" t="s">
        <v>42</v>
      </c>
      <c r="B49" s="98"/>
      <c r="C49" s="122">
        <v>387270</v>
      </c>
      <c r="E49" s="19"/>
    </row>
    <row r="50" spans="1:17" ht="13.5" thickBot="1" x14ac:dyDescent="0.25">
      <c r="E50" s="19"/>
    </row>
    <row r="51" spans="1:17" ht="13.5" thickBot="1" x14ac:dyDescent="0.25">
      <c r="A51" s="14" t="s">
        <v>43</v>
      </c>
      <c r="B51" s="14"/>
      <c r="C51" s="15">
        <v>1</v>
      </c>
      <c r="D51" s="38">
        <f>C51+1</f>
        <v>2</v>
      </c>
      <c r="E51" s="38">
        <f t="shared" ref="E51:Q51" si="5">D51+1</f>
        <v>3</v>
      </c>
      <c r="F51" s="38">
        <f t="shared" si="5"/>
        <v>4</v>
      </c>
      <c r="G51" s="38">
        <f t="shared" si="5"/>
        <v>5</v>
      </c>
      <c r="H51" s="38">
        <f t="shared" si="5"/>
        <v>6</v>
      </c>
      <c r="I51" s="38">
        <f t="shared" si="5"/>
        <v>7</v>
      </c>
      <c r="J51" s="38">
        <f t="shared" si="5"/>
        <v>8</v>
      </c>
      <c r="K51" s="38">
        <f t="shared" si="5"/>
        <v>9</v>
      </c>
      <c r="L51" s="38">
        <f t="shared" si="5"/>
        <v>10</v>
      </c>
      <c r="M51" s="38">
        <f t="shared" si="5"/>
        <v>11</v>
      </c>
      <c r="N51" s="38">
        <f t="shared" si="5"/>
        <v>12</v>
      </c>
      <c r="O51" s="38">
        <f t="shared" si="5"/>
        <v>13</v>
      </c>
      <c r="P51" s="38">
        <f t="shared" si="5"/>
        <v>14</v>
      </c>
      <c r="Q51" s="38">
        <f t="shared" si="5"/>
        <v>15</v>
      </c>
    </row>
    <row r="52" spans="1:17" ht="13.5" thickBot="1" x14ac:dyDescent="0.25">
      <c r="A52" s="14" t="s">
        <v>44</v>
      </c>
      <c r="B52" s="14"/>
      <c r="C52" s="15">
        <v>5</v>
      </c>
      <c r="D52" s="38">
        <f>C52</f>
        <v>5</v>
      </c>
      <c r="E52" s="38">
        <f t="shared" ref="E52:Q53" si="6">D52</f>
        <v>5</v>
      </c>
      <c r="F52" s="38">
        <f t="shared" si="6"/>
        <v>5</v>
      </c>
      <c r="G52" s="38">
        <f t="shared" si="6"/>
        <v>5</v>
      </c>
      <c r="H52" s="38">
        <f t="shared" si="6"/>
        <v>5</v>
      </c>
      <c r="I52" s="38">
        <f t="shared" si="6"/>
        <v>5</v>
      </c>
      <c r="J52" s="38">
        <f t="shared" si="6"/>
        <v>5</v>
      </c>
      <c r="K52" s="38">
        <f t="shared" si="6"/>
        <v>5</v>
      </c>
      <c r="L52" s="38">
        <f t="shared" si="6"/>
        <v>5</v>
      </c>
      <c r="M52" s="38">
        <f t="shared" si="6"/>
        <v>5</v>
      </c>
      <c r="N52" s="38">
        <f t="shared" si="6"/>
        <v>5</v>
      </c>
      <c r="O52" s="38">
        <f t="shared" si="6"/>
        <v>5</v>
      </c>
      <c r="P52" s="38">
        <f t="shared" si="6"/>
        <v>5</v>
      </c>
      <c r="Q52" s="38">
        <f t="shared" si="6"/>
        <v>5</v>
      </c>
    </row>
    <row r="53" spans="1:17" ht="13.5" thickBot="1" x14ac:dyDescent="0.25">
      <c r="A53" s="14" t="s">
        <v>48</v>
      </c>
      <c r="B53" s="14"/>
      <c r="C53" s="40">
        <f>C40</f>
        <v>387270</v>
      </c>
      <c r="D53" s="39">
        <f>C53</f>
        <v>387270</v>
      </c>
      <c r="E53" s="39">
        <f>D53</f>
        <v>387270</v>
      </c>
      <c r="F53" s="39">
        <f>E53</f>
        <v>387270</v>
      </c>
      <c r="G53" s="39">
        <f>F53</f>
        <v>387270</v>
      </c>
      <c r="H53" s="40">
        <f>C41</f>
        <v>387270</v>
      </c>
      <c r="I53" s="39">
        <f>H53</f>
        <v>387270</v>
      </c>
      <c r="J53" s="39">
        <f t="shared" si="6"/>
        <v>387270</v>
      </c>
      <c r="K53" s="39">
        <f t="shared" si="6"/>
        <v>387270</v>
      </c>
      <c r="L53" s="39">
        <f t="shared" si="6"/>
        <v>387270</v>
      </c>
      <c r="M53" s="40">
        <f>C42</f>
        <v>387270</v>
      </c>
      <c r="N53" s="39">
        <f>M53</f>
        <v>387270</v>
      </c>
      <c r="O53" s="39">
        <f t="shared" si="6"/>
        <v>387270</v>
      </c>
      <c r="P53" s="39">
        <f t="shared" si="6"/>
        <v>387270</v>
      </c>
      <c r="Q53" s="39">
        <f t="shared" si="6"/>
        <v>387270</v>
      </c>
    </row>
    <row r="54" spans="1:17" x14ac:dyDescent="0.2">
      <c r="A54" s="14" t="s">
        <v>45</v>
      </c>
      <c r="B54" s="14"/>
      <c r="C54" s="39">
        <f>C53/C52</f>
        <v>77454</v>
      </c>
      <c r="D54" s="39">
        <f>D53/D52</f>
        <v>77454</v>
      </c>
      <c r="E54" s="39">
        <f t="shared" ref="E54:Q54" si="7">E53/E52</f>
        <v>77454</v>
      </c>
      <c r="F54" s="39">
        <f t="shared" si="7"/>
        <v>77454</v>
      </c>
      <c r="G54" s="39">
        <f t="shared" si="7"/>
        <v>77454</v>
      </c>
      <c r="H54" s="39">
        <f t="shared" si="7"/>
        <v>77454</v>
      </c>
      <c r="I54" s="39">
        <f t="shared" si="7"/>
        <v>77454</v>
      </c>
      <c r="J54" s="39">
        <f t="shared" si="7"/>
        <v>77454</v>
      </c>
      <c r="K54" s="39">
        <f t="shared" si="7"/>
        <v>77454</v>
      </c>
      <c r="L54" s="39">
        <f t="shared" si="7"/>
        <v>77454</v>
      </c>
      <c r="M54" s="39">
        <f t="shared" si="7"/>
        <v>77454</v>
      </c>
      <c r="N54" s="39">
        <f t="shared" si="7"/>
        <v>77454</v>
      </c>
      <c r="O54" s="39">
        <f t="shared" si="7"/>
        <v>77454</v>
      </c>
      <c r="P54" s="39">
        <f t="shared" si="7"/>
        <v>77454</v>
      </c>
      <c r="Q54" s="39">
        <f t="shared" si="7"/>
        <v>77454</v>
      </c>
    </row>
    <row r="55" spans="1:17" x14ac:dyDescent="0.2">
      <c r="A55" s="9" t="s">
        <v>14</v>
      </c>
      <c r="B55" s="14"/>
      <c r="C55" s="41">
        <f>WACC!B21</f>
        <v>3.5054645841999577E-2</v>
      </c>
      <c r="D55" s="41">
        <f>C55</f>
        <v>3.5054645841999577E-2</v>
      </c>
      <c r="E55" s="41">
        <f t="shared" ref="E55:Q55" si="8">D55</f>
        <v>3.5054645841999577E-2</v>
      </c>
      <c r="F55" s="41">
        <f t="shared" si="8"/>
        <v>3.5054645841999577E-2</v>
      </c>
      <c r="G55" s="41">
        <f t="shared" si="8"/>
        <v>3.5054645841999577E-2</v>
      </c>
      <c r="H55" s="41">
        <f t="shared" si="8"/>
        <v>3.5054645841999577E-2</v>
      </c>
      <c r="I55" s="41">
        <f t="shared" si="8"/>
        <v>3.5054645841999577E-2</v>
      </c>
      <c r="J55" s="41">
        <f t="shared" si="8"/>
        <v>3.5054645841999577E-2</v>
      </c>
      <c r="K55" s="41">
        <f t="shared" si="8"/>
        <v>3.5054645841999577E-2</v>
      </c>
      <c r="L55" s="41">
        <f t="shared" si="8"/>
        <v>3.5054645841999577E-2</v>
      </c>
      <c r="M55" s="41">
        <f t="shared" si="8"/>
        <v>3.5054645841999577E-2</v>
      </c>
      <c r="N55" s="41">
        <f t="shared" si="8"/>
        <v>3.5054645841999577E-2</v>
      </c>
      <c r="O55" s="41">
        <f t="shared" si="8"/>
        <v>3.5054645841999577E-2</v>
      </c>
      <c r="P55" s="41">
        <f t="shared" si="8"/>
        <v>3.5054645841999577E-2</v>
      </c>
      <c r="Q55" s="41">
        <f t="shared" si="8"/>
        <v>3.5054645841999577E-2</v>
      </c>
    </row>
    <row r="56" spans="1:17" x14ac:dyDescent="0.2">
      <c r="A56" s="45" t="s">
        <v>46</v>
      </c>
      <c r="B56" s="14"/>
      <c r="C56" s="38">
        <f>C54/(1+C55)^C51</f>
        <v>74830.831696806184</v>
      </c>
      <c r="D56" s="38">
        <f t="shared" ref="D56:Q56" si="9">D54/(1+D55)^D51</f>
        <v>72296.503375367742</v>
      </c>
      <c r="E56" s="38">
        <f t="shared" si="9"/>
        <v>69848.006253385538</v>
      </c>
      <c r="F56" s="38">
        <f t="shared" si="9"/>
        <v>67482.433448299096</v>
      </c>
      <c r="G56" s="38">
        <f t="shared" si="9"/>
        <v>65196.976526203871</v>
      </c>
      <c r="H56" s="38">
        <f t="shared" si="9"/>
        <v>62988.922167647695</v>
      </c>
      <c r="I56" s="38">
        <f t="shared" si="9"/>
        <v>60855.648946348396</v>
      </c>
      <c r="J56" s="38">
        <f t="shared" si="9"/>
        <v>58794.624217007731</v>
      </c>
      <c r="K56" s="38">
        <f t="shared" si="9"/>
        <v>56803.401108527258</v>
      </c>
      <c r="L56" s="38">
        <f t="shared" si="9"/>
        <v>54879.615619056174</v>
      </c>
      <c r="M56" s="38">
        <f t="shared" si="9"/>
        <v>53020.983809422476</v>
      </c>
      <c r="N56" s="38">
        <f t="shared" si="9"/>
        <v>51225.299091615401</v>
      </c>
      <c r="O56" s="38">
        <f t="shared" si="9"/>
        <v>49490.429609099985</v>
      </c>
      <c r="P56" s="38">
        <f t="shared" si="9"/>
        <v>47814.315705853725</v>
      </c>
      <c r="Q56" s="38">
        <f t="shared" si="9"/>
        <v>46194.967481120359</v>
      </c>
    </row>
    <row r="57" spans="1:17" x14ac:dyDescent="0.2">
      <c r="A57" s="14" t="s">
        <v>47</v>
      </c>
      <c r="B57" s="14"/>
      <c r="C57" s="42">
        <f>SUM(C56:Q56)</f>
        <v>891722.95905576157</v>
      </c>
      <c r="D57" s="45"/>
    </row>
    <row r="58" spans="1:17" ht="13.5" thickBot="1" x14ac:dyDescent="0.25">
      <c r="A58" s="14" t="s">
        <v>50</v>
      </c>
      <c r="B58" s="14"/>
      <c r="C58" s="42">
        <f>-PMT(C55,ANNUALISED_CAP_COST!$B$27,C57)</f>
        <v>77453.999999999971</v>
      </c>
      <c r="D58" s="45"/>
    </row>
    <row r="59" spans="1:17" ht="13.5" thickBot="1" x14ac:dyDescent="0.25">
      <c r="A59" s="14" t="s">
        <v>67</v>
      </c>
      <c r="B59" s="14"/>
      <c r="C59" s="16" t="s">
        <v>127</v>
      </c>
      <c r="E59" s="19"/>
    </row>
    <row r="60" spans="1:17" s="19" customFormat="1" ht="13.5" thickBot="1" x14ac:dyDescent="0.25">
      <c r="A60" s="20" t="s">
        <v>112</v>
      </c>
      <c r="B60" s="20"/>
      <c r="C60" s="31">
        <v>43646</v>
      </c>
      <c r="D60" s="9"/>
    </row>
    <row r="61" spans="1:17" s="19" customFormat="1" ht="13.5" thickBot="1" x14ac:dyDescent="0.25">
      <c r="A61" s="20" t="s">
        <v>113</v>
      </c>
      <c r="B61" s="20"/>
      <c r="C61" s="32">
        <v>44835</v>
      </c>
    </row>
    <row r="62" spans="1:17" ht="13.5" thickBot="1" x14ac:dyDescent="0.25">
      <c r="D62" s="20"/>
      <c r="E62" s="20"/>
    </row>
    <row r="63" spans="1:17" ht="13.5" thickBot="1" x14ac:dyDescent="0.25">
      <c r="A63" s="14" t="s">
        <v>131</v>
      </c>
      <c r="B63" s="92">
        <f>ESCALATION_FACTORS!$B$4</f>
        <v>44012</v>
      </c>
      <c r="C63" s="101">
        <f>VLOOKUP($C$59,ESCALATION_FACTORS!$A$5:$E$9,2,)</f>
        <v>2.3E-2</v>
      </c>
    </row>
    <row r="64" spans="1:17" s="19" customFormat="1" ht="13.5" thickBot="1" x14ac:dyDescent="0.25">
      <c r="A64" s="20"/>
      <c r="B64" s="92">
        <f>ESCALATION_FACTORS!$C$4</f>
        <v>44377</v>
      </c>
      <c r="C64" s="101">
        <f>VLOOKUP($C$59,ESCALATION_FACTORS!$A$5:$E$9,3,)</f>
        <v>0.02</v>
      </c>
      <c r="D64" s="20"/>
      <c r="E64" s="20"/>
    </row>
    <row r="65" spans="1:5" s="19" customFormat="1" ht="13.5" thickBot="1" x14ac:dyDescent="0.25">
      <c r="A65" s="20"/>
      <c r="B65" s="92">
        <f>ESCALATION_FACTORS!$D$4</f>
        <v>44742</v>
      </c>
      <c r="C65" s="101">
        <f>VLOOKUP($C$59,ESCALATION_FACTORS!$A$5:$E$9,4,)</f>
        <v>1.7999999999999999E-2</v>
      </c>
      <c r="D65" s="20"/>
      <c r="E65" s="20"/>
    </row>
    <row r="66" spans="1:5" s="19" customFormat="1" ht="13.5" thickBot="1" x14ac:dyDescent="0.25">
      <c r="A66" s="9"/>
      <c r="B66" s="92">
        <f>ESCALATION_FACTORS!$E$4</f>
        <v>45107</v>
      </c>
      <c r="C66" s="101">
        <f>VLOOKUP($C$59,ESCALATION_FACTORS!$A$5:$E$9,5,)</f>
        <v>2.5999999999999999E-2</v>
      </c>
      <c r="D66" s="20"/>
      <c r="E66" s="20"/>
    </row>
    <row r="67" spans="1:5" s="19" customFormat="1" ht="13.5" thickBot="1" x14ac:dyDescent="0.25">
      <c r="A67" s="20"/>
      <c r="B67" s="20"/>
      <c r="C67" s="20"/>
      <c r="D67" s="20"/>
      <c r="E67" s="20"/>
    </row>
    <row r="68" spans="1:5" ht="13.5" thickBot="1" x14ac:dyDescent="0.25">
      <c r="A68" s="14" t="s">
        <v>49</v>
      </c>
      <c r="B68" s="14"/>
      <c r="C68" s="87">
        <f>(C58*IF(C60&lt;=B63,(1+C63)^((MIN(C61,B63)-MAX(C60,DATE(YEAR(B63)-1,6,30)))/(B63-DATE(YEAR(B63)-1,6,30))),1)*IF(AND(C60&lt;=B64,C61&gt;=B63),(1+C64)^((MIN(C61,B64)-MAX(C60,B63))/(B64-B63)),1)*IF(AND(C60&lt;=B65,C61&gt;=B64),(1+C65)^((MIN(C61,B65)-MAX(C60,B64))/(B65-B64)),1)*IF(C61&gt;=B65,(1+C66)^((MIN(C61,B66)-MAX(C60,B65))/(B66-B65)),1))/BRCP_Calculation!B16</f>
        <v>543.83211812581203</v>
      </c>
      <c r="D68" s="9" t="s">
        <v>53</v>
      </c>
    </row>
    <row r="69" spans="1:5" x14ac:dyDescent="0.2">
      <c r="A69" s="14"/>
      <c r="B69" s="14"/>
      <c r="C69" s="18"/>
    </row>
    <row r="70" spans="1:5" ht="13.5" thickBot="1" x14ac:dyDescent="0.25"/>
    <row r="71" spans="1:5" ht="13.5" thickBot="1" x14ac:dyDescent="0.25">
      <c r="A71" s="36" t="s">
        <v>72</v>
      </c>
      <c r="B71" s="95"/>
      <c r="C71" s="37"/>
    </row>
    <row r="72" spans="1:5" ht="13.5" thickBot="1" x14ac:dyDescent="0.25">
      <c r="A72" s="11" t="s">
        <v>36</v>
      </c>
      <c r="B72" s="96"/>
      <c r="C72" s="122">
        <v>24175</v>
      </c>
      <c r="E72" s="19"/>
    </row>
    <row r="73" spans="1:5" ht="13.5" thickBot="1" x14ac:dyDescent="0.25">
      <c r="A73" s="12" t="s">
        <v>34</v>
      </c>
      <c r="B73" s="97"/>
      <c r="C73" s="122">
        <v>24175</v>
      </c>
      <c r="E73" s="19"/>
    </row>
    <row r="74" spans="1:5" ht="13.5" thickBot="1" x14ac:dyDescent="0.25">
      <c r="A74" s="12" t="s">
        <v>35</v>
      </c>
      <c r="B74" s="97"/>
      <c r="C74" s="122">
        <v>24175</v>
      </c>
      <c r="E74" s="19"/>
    </row>
    <row r="75" spans="1:5" ht="13.5" thickBot="1" x14ac:dyDescent="0.25">
      <c r="A75" s="12" t="s">
        <v>99</v>
      </c>
      <c r="B75" s="97"/>
      <c r="C75" s="122">
        <v>24175</v>
      </c>
      <c r="E75" s="19"/>
    </row>
    <row r="76" spans="1:5" ht="13.5" thickBot="1" x14ac:dyDescent="0.25">
      <c r="A76" s="12" t="s">
        <v>37</v>
      </c>
      <c r="B76" s="97"/>
      <c r="C76" s="122">
        <v>24175</v>
      </c>
      <c r="E76" s="19"/>
    </row>
    <row r="77" spans="1:5" ht="13.5" thickBot="1" x14ac:dyDescent="0.25">
      <c r="A77" s="12" t="s">
        <v>38</v>
      </c>
      <c r="B77" s="97"/>
      <c r="C77" s="122">
        <v>24175</v>
      </c>
      <c r="E77" s="19"/>
    </row>
    <row r="78" spans="1:5" ht="13.5" thickBot="1" x14ac:dyDescent="0.25">
      <c r="A78" s="12" t="s">
        <v>39</v>
      </c>
      <c r="B78" s="97"/>
      <c r="C78" s="122">
        <v>24175</v>
      </c>
      <c r="E78" s="19"/>
    </row>
    <row r="79" spans="1:5" ht="13.5" thickBot="1" x14ac:dyDescent="0.25">
      <c r="A79" s="12" t="s">
        <v>40</v>
      </c>
      <c r="B79" s="97"/>
      <c r="C79" s="122">
        <v>24175</v>
      </c>
      <c r="E79" s="19"/>
    </row>
    <row r="80" spans="1:5" ht="13.5" thickBot="1" x14ac:dyDescent="0.25">
      <c r="A80" s="12" t="s">
        <v>41</v>
      </c>
      <c r="B80" s="97"/>
      <c r="C80" s="122">
        <v>24175</v>
      </c>
      <c r="E80" s="19"/>
    </row>
    <row r="81" spans="1:17" ht="13.5" thickBot="1" x14ac:dyDescent="0.25">
      <c r="A81" s="12" t="s">
        <v>42</v>
      </c>
      <c r="B81" s="97"/>
      <c r="C81" s="122">
        <v>24175</v>
      </c>
      <c r="E81" s="19"/>
    </row>
    <row r="82" spans="1:17" ht="13.5" thickBot="1" x14ac:dyDescent="0.25">
      <c r="A82" s="12" t="s">
        <v>51</v>
      </c>
      <c r="B82" s="97"/>
      <c r="C82" s="122">
        <v>24175</v>
      </c>
      <c r="E82" s="19"/>
    </row>
    <row r="83" spans="1:17" ht="13.5" thickBot="1" x14ac:dyDescent="0.25">
      <c r="A83" s="13" t="s">
        <v>52</v>
      </c>
      <c r="B83" s="98"/>
      <c r="C83" s="122">
        <v>24175</v>
      </c>
      <c r="E83" s="19"/>
    </row>
    <row r="84" spans="1:17" ht="13.5" thickBot="1" x14ac:dyDescent="0.25"/>
    <row r="85" spans="1:17" ht="13.5" thickBot="1" x14ac:dyDescent="0.25">
      <c r="A85" s="14" t="s">
        <v>43</v>
      </c>
      <c r="B85" s="14"/>
      <c r="C85" s="15">
        <v>1</v>
      </c>
      <c r="D85" s="38">
        <f>C85+1</f>
        <v>2</v>
      </c>
      <c r="E85" s="38">
        <f t="shared" ref="E85:Q85" si="10">D85+1</f>
        <v>3</v>
      </c>
      <c r="F85" s="38">
        <f t="shared" si="10"/>
        <v>4</v>
      </c>
      <c r="G85" s="38">
        <f t="shared" si="10"/>
        <v>5</v>
      </c>
      <c r="H85" s="38">
        <f t="shared" si="10"/>
        <v>6</v>
      </c>
      <c r="I85" s="38">
        <f t="shared" si="10"/>
        <v>7</v>
      </c>
      <c r="J85" s="38">
        <f t="shared" si="10"/>
        <v>8</v>
      </c>
      <c r="K85" s="38">
        <f t="shared" si="10"/>
        <v>9</v>
      </c>
      <c r="L85" s="38">
        <f t="shared" si="10"/>
        <v>10</v>
      </c>
      <c r="M85" s="38">
        <f t="shared" si="10"/>
        <v>11</v>
      </c>
      <c r="N85" s="38">
        <f t="shared" si="10"/>
        <v>12</v>
      </c>
      <c r="O85" s="38">
        <f t="shared" si="10"/>
        <v>13</v>
      </c>
      <c r="P85" s="38">
        <f t="shared" si="10"/>
        <v>14</v>
      </c>
      <c r="Q85" s="38">
        <f t="shared" si="10"/>
        <v>15</v>
      </c>
    </row>
    <row r="86" spans="1:17" ht="13.5" thickBot="1" x14ac:dyDescent="0.25">
      <c r="A86" s="14" t="s">
        <v>44</v>
      </c>
      <c r="B86" s="14"/>
      <c r="C86" s="15">
        <v>5</v>
      </c>
      <c r="D86" s="38">
        <f>C86</f>
        <v>5</v>
      </c>
      <c r="E86" s="38">
        <f t="shared" ref="E86:Q87" si="11">D86</f>
        <v>5</v>
      </c>
      <c r="F86" s="38">
        <f t="shared" si="11"/>
        <v>5</v>
      </c>
      <c r="G86" s="38">
        <f t="shared" si="11"/>
        <v>5</v>
      </c>
      <c r="H86" s="38">
        <f t="shared" si="11"/>
        <v>5</v>
      </c>
      <c r="I86" s="38">
        <f t="shared" si="11"/>
        <v>5</v>
      </c>
      <c r="J86" s="38">
        <f t="shared" si="11"/>
        <v>5</v>
      </c>
      <c r="K86" s="38">
        <f t="shared" si="11"/>
        <v>5</v>
      </c>
      <c r="L86" s="38">
        <f t="shared" si="11"/>
        <v>5</v>
      </c>
      <c r="M86" s="38">
        <f t="shared" si="11"/>
        <v>5</v>
      </c>
      <c r="N86" s="38">
        <f t="shared" si="11"/>
        <v>5</v>
      </c>
      <c r="O86" s="38">
        <f t="shared" si="11"/>
        <v>5</v>
      </c>
      <c r="P86" s="38">
        <f t="shared" si="11"/>
        <v>5</v>
      </c>
      <c r="Q86" s="38">
        <f t="shared" si="11"/>
        <v>5</v>
      </c>
    </row>
    <row r="87" spans="1:17" ht="13.5" thickBot="1" x14ac:dyDescent="0.25">
      <c r="A87" s="14" t="s">
        <v>48</v>
      </c>
      <c r="B87" s="14"/>
      <c r="C87" s="40">
        <f>C72</f>
        <v>24175</v>
      </c>
      <c r="D87" s="39">
        <f>C87</f>
        <v>24175</v>
      </c>
      <c r="E87" s="39">
        <f>D87</f>
        <v>24175</v>
      </c>
      <c r="F87" s="39">
        <f>E87</f>
        <v>24175</v>
      </c>
      <c r="G87" s="39">
        <f>F87</f>
        <v>24175</v>
      </c>
      <c r="H87" s="39">
        <f>C73</f>
        <v>24175</v>
      </c>
      <c r="I87" s="39">
        <f>H87</f>
        <v>24175</v>
      </c>
      <c r="J87" s="39">
        <f t="shared" si="11"/>
        <v>24175</v>
      </c>
      <c r="K87" s="39">
        <f t="shared" si="11"/>
        <v>24175</v>
      </c>
      <c r="L87" s="39">
        <f t="shared" si="11"/>
        <v>24175</v>
      </c>
      <c r="M87" s="39">
        <f>C74</f>
        <v>24175</v>
      </c>
      <c r="N87" s="39">
        <f>M87</f>
        <v>24175</v>
      </c>
      <c r="O87" s="39">
        <f t="shared" si="11"/>
        <v>24175</v>
      </c>
      <c r="P87" s="39">
        <f t="shared" si="11"/>
        <v>24175</v>
      </c>
      <c r="Q87" s="39">
        <f t="shared" si="11"/>
        <v>24175</v>
      </c>
    </row>
    <row r="88" spans="1:17" x14ac:dyDescent="0.2">
      <c r="A88" s="14" t="s">
        <v>45</v>
      </c>
      <c r="B88" s="14"/>
      <c r="C88" s="39">
        <f>C87/C86</f>
        <v>4835</v>
      </c>
      <c r="D88" s="39">
        <f t="shared" ref="D88:Q88" si="12">D87/D86</f>
        <v>4835</v>
      </c>
      <c r="E88" s="39">
        <f>E87/E86</f>
        <v>4835</v>
      </c>
      <c r="F88" s="39">
        <f t="shared" si="12"/>
        <v>4835</v>
      </c>
      <c r="G88" s="39">
        <f t="shared" si="12"/>
        <v>4835</v>
      </c>
      <c r="H88" s="39">
        <f t="shared" si="12"/>
        <v>4835</v>
      </c>
      <c r="I88" s="39">
        <f t="shared" si="12"/>
        <v>4835</v>
      </c>
      <c r="J88" s="39">
        <f t="shared" si="12"/>
        <v>4835</v>
      </c>
      <c r="K88" s="39">
        <f t="shared" si="12"/>
        <v>4835</v>
      </c>
      <c r="L88" s="39">
        <f t="shared" si="12"/>
        <v>4835</v>
      </c>
      <c r="M88" s="39">
        <f t="shared" si="12"/>
        <v>4835</v>
      </c>
      <c r="N88" s="39">
        <f t="shared" si="12"/>
        <v>4835</v>
      </c>
      <c r="O88" s="39">
        <f t="shared" si="12"/>
        <v>4835</v>
      </c>
      <c r="P88" s="39">
        <f t="shared" si="12"/>
        <v>4835</v>
      </c>
      <c r="Q88" s="39">
        <f t="shared" si="12"/>
        <v>4835</v>
      </c>
    </row>
    <row r="89" spans="1:17" x14ac:dyDescent="0.2">
      <c r="A89" s="14" t="s">
        <v>14</v>
      </c>
      <c r="B89" s="14"/>
      <c r="C89" s="41">
        <f>WACC!B21</f>
        <v>3.5054645841999577E-2</v>
      </c>
      <c r="D89" s="41">
        <f>C89</f>
        <v>3.5054645841999577E-2</v>
      </c>
      <c r="E89" s="41">
        <f t="shared" ref="E89:Q89" si="13">D89</f>
        <v>3.5054645841999577E-2</v>
      </c>
      <c r="F89" s="41">
        <f t="shared" si="13"/>
        <v>3.5054645841999577E-2</v>
      </c>
      <c r="G89" s="41">
        <f t="shared" si="13"/>
        <v>3.5054645841999577E-2</v>
      </c>
      <c r="H89" s="41">
        <f t="shared" si="13"/>
        <v>3.5054645841999577E-2</v>
      </c>
      <c r="I89" s="41">
        <f t="shared" si="13"/>
        <v>3.5054645841999577E-2</v>
      </c>
      <c r="J89" s="41">
        <f t="shared" si="13"/>
        <v>3.5054645841999577E-2</v>
      </c>
      <c r="K89" s="41">
        <f t="shared" si="13"/>
        <v>3.5054645841999577E-2</v>
      </c>
      <c r="L89" s="41">
        <f t="shared" si="13"/>
        <v>3.5054645841999577E-2</v>
      </c>
      <c r="M89" s="41">
        <f t="shared" si="13"/>
        <v>3.5054645841999577E-2</v>
      </c>
      <c r="N89" s="41">
        <f t="shared" si="13"/>
        <v>3.5054645841999577E-2</v>
      </c>
      <c r="O89" s="41">
        <f t="shared" si="13"/>
        <v>3.5054645841999577E-2</v>
      </c>
      <c r="P89" s="41">
        <f t="shared" si="13"/>
        <v>3.5054645841999577E-2</v>
      </c>
      <c r="Q89" s="41">
        <f t="shared" si="13"/>
        <v>3.5054645841999577E-2</v>
      </c>
    </row>
    <row r="90" spans="1:17" x14ac:dyDescent="0.2">
      <c r="A90" s="14" t="s">
        <v>46</v>
      </c>
      <c r="B90" s="14"/>
      <c r="C90" s="38">
        <f>C88/(1+C89)^C85</f>
        <v>4671.2509522304581</v>
      </c>
      <c r="D90" s="38">
        <f>D88/(1+D89)^D85</f>
        <v>4513.0476646771376</v>
      </c>
      <c r="E90" s="38">
        <f>E88/(1+E89)^E85</f>
        <v>4360.2023166669123</v>
      </c>
      <c r="F90" s="38">
        <f t="shared" ref="F90:Q90" si="14">F88/(1+F89)^F85</f>
        <v>4212.5334485310786</v>
      </c>
      <c r="G90" s="38">
        <f t="shared" si="14"/>
        <v>4069.8657461744483</v>
      </c>
      <c r="H90" s="38">
        <f t="shared" si="14"/>
        <v>3932.0298329405405</v>
      </c>
      <c r="I90" s="38">
        <f t="shared" si="14"/>
        <v>3798.8620685257633</v>
      </c>
      <c r="J90" s="38">
        <f t="shared" si="14"/>
        <v>3670.2043547038552</v>
      </c>
      <c r="K90" s="38">
        <f t="shared" si="14"/>
        <v>3545.903947629939</v>
      </c>
      <c r="L90" s="38">
        <f t="shared" si="14"/>
        <v>3425.8132765013634</v>
      </c>
      <c r="M90" s="38">
        <f t="shared" si="14"/>
        <v>3309.789768360029</v>
      </c>
      <c r="N90" s="38">
        <f t="shared" si="14"/>
        <v>3197.6956788282137</v>
      </c>
      <c r="O90" s="38">
        <f t="shared" si="14"/>
        <v>3089.3979285769419</v>
      </c>
      <c r="P90" s="38">
        <f t="shared" si="14"/>
        <v>2984.7679453327496</v>
      </c>
      <c r="Q90" s="38">
        <f t="shared" si="14"/>
        <v>2883.6815112352742</v>
      </c>
    </row>
    <row r="91" spans="1:17" x14ac:dyDescent="0.2">
      <c r="A91" s="14" t="s">
        <v>47</v>
      </c>
      <c r="B91" s="14"/>
      <c r="C91" s="42">
        <f>SUM(C90:Q90)</f>
        <v>55665.046440914695</v>
      </c>
      <c r="D91" s="45"/>
    </row>
    <row r="92" spans="1:17" ht="13.5" thickBot="1" x14ac:dyDescent="0.25">
      <c r="A92" s="14" t="s">
        <v>50</v>
      </c>
      <c r="B92" s="14"/>
      <c r="C92" s="42">
        <f>-PMT(C89,ANNUALISED_CAP_COST!$B$27,C91)</f>
        <v>4834.9999999999991</v>
      </c>
      <c r="D92" s="45"/>
    </row>
    <row r="93" spans="1:17" ht="13.5" thickBot="1" x14ac:dyDescent="0.25">
      <c r="A93" s="14" t="s">
        <v>67</v>
      </c>
      <c r="B93" s="14"/>
      <c r="C93" s="16" t="s">
        <v>127</v>
      </c>
      <c r="E93" s="19"/>
    </row>
    <row r="94" spans="1:17" s="19" customFormat="1" ht="13.5" thickBot="1" x14ac:dyDescent="0.25">
      <c r="A94" s="20" t="s">
        <v>112</v>
      </c>
      <c r="B94" s="20"/>
      <c r="C94" s="31">
        <v>43646</v>
      </c>
      <c r="D94" s="9"/>
    </row>
    <row r="95" spans="1:17" s="19" customFormat="1" ht="13.5" thickBot="1" x14ac:dyDescent="0.25">
      <c r="A95" s="20" t="s">
        <v>113</v>
      </c>
      <c r="B95" s="20"/>
      <c r="C95" s="32">
        <v>44835</v>
      </c>
    </row>
    <row r="96" spans="1:17" ht="13.5" thickBot="1" x14ac:dyDescent="0.25">
      <c r="D96" s="20"/>
      <c r="E96" s="20"/>
    </row>
    <row r="97" spans="1:11" ht="13.5" thickBot="1" x14ac:dyDescent="0.25">
      <c r="A97" s="14" t="s">
        <v>131</v>
      </c>
      <c r="B97" s="92">
        <f>ESCALATION_FACTORS!$B$4</f>
        <v>44012</v>
      </c>
      <c r="C97" s="101">
        <f>VLOOKUP($C$93,ESCALATION_FACTORS!$A$5:$E$9,2,)</f>
        <v>2.3E-2</v>
      </c>
    </row>
    <row r="98" spans="1:11" s="19" customFormat="1" ht="13.5" thickBot="1" x14ac:dyDescent="0.25">
      <c r="A98" s="20"/>
      <c r="B98" s="92">
        <f>ESCALATION_FACTORS!$C$4</f>
        <v>44377</v>
      </c>
      <c r="C98" s="101">
        <f>VLOOKUP($C$93,ESCALATION_FACTORS!$A$5:$E$9,3,)</f>
        <v>0.02</v>
      </c>
      <c r="D98" s="20"/>
      <c r="E98" s="20"/>
    </row>
    <row r="99" spans="1:11" s="19" customFormat="1" ht="13.5" thickBot="1" x14ac:dyDescent="0.25">
      <c r="A99" s="20"/>
      <c r="B99" s="92">
        <f>ESCALATION_FACTORS!$D$4</f>
        <v>44742</v>
      </c>
      <c r="C99" s="101">
        <f>VLOOKUP($C$93,ESCALATION_FACTORS!$A$5:$E$9,4,)</f>
        <v>1.7999999999999999E-2</v>
      </c>
      <c r="D99" s="20"/>
      <c r="E99" s="20"/>
    </row>
    <row r="100" spans="1:11" s="19" customFormat="1" ht="13.5" thickBot="1" x14ac:dyDescent="0.25">
      <c r="A100" s="9"/>
      <c r="B100" s="92">
        <f>ESCALATION_FACTORS!$E$4</f>
        <v>45107</v>
      </c>
      <c r="C100" s="101">
        <f>VLOOKUP($C$93,ESCALATION_FACTORS!$A$5:$E$9,5,)</f>
        <v>2.5999999999999999E-2</v>
      </c>
      <c r="D100" s="20"/>
      <c r="E100" s="20"/>
    </row>
    <row r="101" spans="1:11" s="19" customFormat="1" ht="13.5" thickBot="1" x14ac:dyDescent="0.25">
      <c r="A101" s="20"/>
      <c r="B101" s="20"/>
      <c r="C101" s="20"/>
      <c r="D101" s="20"/>
      <c r="E101" s="20"/>
    </row>
    <row r="102" spans="1:11" ht="13.5" thickBot="1" x14ac:dyDescent="0.25">
      <c r="A102" s="14" t="s">
        <v>49</v>
      </c>
      <c r="B102" s="14"/>
      <c r="C102" s="87">
        <f>(C92*IF(C94&lt;=B97,(1+C97)^((MIN(C95,B97)-MAX(C94,DATE(YEAR(B97)-1,6,30)))/(B97-DATE(YEAR(B97)-1,6,30))),1)*IF(AND(C94&lt;=B98,C95&gt;=B97),(1+C98)^((MIN(C95,B98)-MAX(C94,B97))/(B98-B97)),1)*IF(AND(C94&lt;=B99,C95&gt;=B98),(1+C99)^((MIN(C95,B99)-MAX(C94,B98))/(B99-B98)),1)*IF(C95&gt;=B99,(1+C100)^((MIN(C95,B100)-MAX(C94,B99))/(B100-B99)),1))/BRCP_Calculation!B16</f>
        <v>33.948256915566674</v>
      </c>
      <c r="D102" s="9" t="s">
        <v>53</v>
      </c>
      <c r="K102" s="17"/>
    </row>
    <row r="103" spans="1:11" x14ac:dyDescent="0.2">
      <c r="K103" s="108"/>
    </row>
    <row r="104" spans="1:11" ht="13.5" thickBot="1" x14ac:dyDescent="0.25"/>
    <row r="105" spans="1:11" ht="18.75" thickBot="1" x14ac:dyDescent="0.3">
      <c r="A105" s="46" t="s">
        <v>106</v>
      </c>
      <c r="B105" s="46"/>
      <c r="C105" s="10"/>
    </row>
    <row r="106" spans="1:11" ht="13.5" thickBot="1" x14ac:dyDescent="0.25">
      <c r="A106" s="23" t="s">
        <v>146</v>
      </c>
      <c r="B106" s="87">
        <f>(PC!C16*(1+M!B3)*PC!C4)</f>
        <v>153372689.64924833</v>
      </c>
      <c r="C106" s="19"/>
      <c r="D106" s="19"/>
      <c r="E106" s="19"/>
      <c r="F106" s="19"/>
      <c r="G106" s="19"/>
    </row>
    <row r="107" spans="1:11" ht="13.5" thickBot="1" x14ac:dyDescent="0.25">
      <c r="A107" s="23" t="s">
        <v>142</v>
      </c>
      <c r="B107" s="152">
        <f>FFC!C18</f>
        <v>7213563.7996095791</v>
      </c>
      <c r="C107" s="19"/>
      <c r="D107" s="19"/>
      <c r="E107" s="19"/>
      <c r="F107" s="19"/>
      <c r="G107" s="19"/>
    </row>
    <row r="108" spans="1:11" ht="13.5" thickBot="1" x14ac:dyDescent="0.25">
      <c r="A108" s="26" t="s">
        <v>141</v>
      </c>
      <c r="B108" s="144">
        <v>2.8800000000000002E-3</v>
      </c>
      <c r="C108" s="19"/>
      <c r="D108" s="19"/>
      <c r="E108" s="19"/>
      <c r="F108" s="19"/>
      <c r="G108" s="19"/>
    </row>
    <row r="109" spans="1:11" ht="13.5" thickBot="1" x14ac:dyDescent="0.25">
      <c r="A109" s="23" t="s">
        <v>139</v>
      </c>
      <c r="B109" s="145">
        <f>1/(1-0.026)</f>
        <v>1.0266940451745381</v>
      </c>
      <c r="C109" s="19"/>
      <c r="D109" s="19"/>
      <c r="E109" s="19"/>
      <c r="F109" s="19"/>
      <c r="G109" s="19"/>
    </row>
    <row r="110" spans="1:11" ht="13.5" thickBot="1" x14ac:dyDescent="0.25">
      <c r="A110" s="23" t="s">
        <v>140</v>
      </c>
      <c r="B110" s="145">
        <v>1.1000000000000001</v>
      </c>
      <c r="C110" s="19"/>
      <c r="D110" s="19" t="s">
        <v>144</v>
      </c>
      <c r="E110" s="26" t="s">
        <v>145</v>
      </c>
      <c r="F110" s="19"/>
      <c r="G110" s="19"/>
    </row>
    <row r="111" spans="1:11" ht="13.5" thickBot="1" x14ac:dyDescent="0.25">
      <c r="A111" s="106" t="s">
        <v>124</v>
      </c>
      <c r="B111" s="153"/>
      <c r="C111" s="43">
        <f>(B106+B107)*B108*B109*B110</f>
        <v>522317.50608417043</v>
      </c>
      <c r="E111" s="19"/>
      <c r="G111" s="64"/>
    </row>
    <row r="112" spans="1:11" s="25" customFormat="1" ht="13.5" thickBot="1" x14ac:dyDescent="0.25">
      <c r="A112" s="148" t="s">
        <v>165</v>
      </c>
      <c r="B112" s="146">
        <v>141900</v>
      </c>
      <c r="C112" s="107"/>
      <c r="D112" s="112">
        <f>BRCP_Calculation!B3</f>
        <v>141889.81248185132</v>
      </c>
      <c r="E112" s="107" t="b">
        <f>(ROUND(B112,-2))=(ROUND(D112,-2))</f>
        <v>1</v>
      </c>
      <c r="F112" s="107"/>
      <c r="G112" s="107"/>
    </row>
    <row r="113" spans="1:5" ht="13.5" thickBot="1" x14ac:dyDescent="0.25">
      <c r="A113" s="106" t="s">
        <v>126</v>
      </c>
      <c r="B113" s="129"/>
      <c r="C113" s="43">
        <f>(2*B112*PC!C4)*B108*B109*B110</f>
        <v>140566.38475564684</v>
      </c>
      <c r="E113" s="19"/>
    </row>
    <row r="114" spans="1:5" ht="13.5" thickBot="1" x14ac:dyDescent="0.25">
      <c r="A114" s="106" t="s">
        <v>125</v>
      </c>
      <c r="B114" s="122">
        <v>121000</v>
      </c>
      <c r="D114" s="14"/>
      <c r="E114" s="26"/>
    </row>
    <row r="115" spans="1:5" ht="13.5" thickBot="1" x14ac:dyDescent="0.25">
      <c r="A115" s="118" t="s">
        <v>147</v>
      </c>
      <c r="B115" s="122">
        <v>20000</v>
      </c>
      <c r="C115" s="43">
        <f>IF(AND(C119&gt;=B123,C119&lt;=B124),(B114+B115)*(1+C122)*(1+C123)*(1+C124)^((C119-B123)/(B124-B123)),NA())</f>
        <v>148810.74241250847</v>
      </c>
      <c r="D115" s="14"/>
      <c r="E115" s="150"/>
    </row>
    <row r="116" spans="1:5" ht="13.5" thickBot="1" x14ac:dyDescent="0.25">
      <c r="A116" s="20" t="s">
        <v>107</v>
      </c>
      <c r="B116" s="20"/>
      <c r="C116" s="43">
        <f>SUM(C111:C115)</f>
        <v>811694.6332523257</v>
      </c>
      <c r="D116" s="14"/>
      <c r="E116" s="149"/>
    </row>
    <row r="117" spans="1:5" s="19" customFormat="1" ht="13.5" thickBot="1" x14ac:dyDescent="0.25">
      <c r="A117" s="20"/>
      <c r="B117" s="20"/>
      <c r="C117" s="20"/>
      <c r="D117" s="20"/>
      <c r="E117" s="20"/>
    </row>
    <row r="118" spans="1:5" ht="13.5" thickBot="1" x14ac:dyDescent="0.25">
      <c r="A118" s="20" t="s">
        <v>67</v>
      </c>
      <c r="B118" s="20"/>
      <c r="C118" s="16" t="s">
        <v>66</v>
      </c>
      <c r="D118" s="24"/>
      <c r="E118" s="19"/>
    </row>
    <row r="119" spans="1:5" s="19" customFormat="1" ht="13.5" thickBot="1" x14ac:dyDescent="0.25">
      <c r="A119" s="20" t="s">
        <v>112</v>
      </c>
      <c r="B119" s="20"/>
      <c r="C119" s="31">
        <v>44652</v>
      </c>
      <c r="D119" s="109"/>
    </row>
    <row r="120" spans="1:5" s="19" customFormat="1" ht="13.5" thickBot="1" x14ac:dyDescent="0.25">
      <c r="A120" s="20" t="s">
        <v>113</v>
      </c>
      <c r="B120" s="20"/>
      <c r="C120" s="32">
        <v>44835</v>
      </c>
      <c r="D120" s="109"/>
    </row>
    <row r="121" spans="1:5" ht="13.5" thickBot="1" x14ac:dyDescent="0.25">
      <c r="D121" s="20"/>
      <c r="E121" s="20"/>
    </row>
    <row r="122" spans="1:5" ht="13.5" thickBot="1" x14ac:dyDescent="0.25">
      <c r="A122" s="14" t="s">
        <v>131</v>
      </c>
      <c r="B122" s="92">
        <f>ESCALATION_FACTORS!$B$4</f>
        <v>44012</v>
      </c>
      <c r="C122" s="101">
        <f>VLOOKUP($C$118,ESCALATION_FACTORS!$A$5:$E$9,2,)</f>
        <v>1.7500000000000002E-2</v>
      </c>
      <c r="D122" s="19"/>
      <c r="E122" s="19"/>
    </row>
    <row r="123" spans="1:5" s="19" customFormat="1" ht="13.5" thickBot="1" x14ac:dyDescent="0.25">
      <c r="A123" s="20"/>
      <c r="B123" s="92">
        <f>ESCALATION_FACTORS!$C$4</f>
        <v>44377</v>
      </c>
      <c r="C123" s="101">
        <f>VLOOKUP($C$118,ESCALATION_FACTORS!$A$5:$E$9,3,)</f>
        <v>0.02</v>
      </c>
      <c r="D123" s="20"/>
      <c r="E123" s="20"/>
    </row>
    <row r="124" spans="1:5" s="19" customFormat="1" ht="13.5" thickBot="1" x14ac:dyDescent="0.25">
      <c r="A124" s="20"/>
      <c r="B124" s="92">
        <f>ESCALATION_FACTORS!$D$4</f>
        <v>44742</v>
      </c>
      <c r="C124" s="101">
        <f>VLOOKUP($C$118,ESCALATION_FACTORS!$A$5:$E$9,4,)</f>
        <v>2.2499999999999999E-2</v>
      </c>
      <c r="D124" s="20"/>
      <c r="E124" s="20"/>
    </row>
    <row r="125" spans="1:5" s="19" customFormat="1" ht="13.5" thickBot="1" x14ac:dyDescent="0.25">
      <c r="A125" s="9"/>
      <c r="B125" s="92">
        <f>ESCALATION_FACTORS!$E$4</f>
        <v>45107</v>
      </c>
      <c r="C125" s="101">
        <f>VLOOKUP($C$118,ESCALATION_FACTORS!$A$5:$E$9,5,)</f>
        <v>2.5000000000000001E-2</v>
      </c>
      <c r="D125" s="20"/>
      <c r="E125" s="20"/>
    </row>
    <row r="126" spans="1:5" s="19" customFormat="1" ht="13.5" thickBot="1" x14ac:dyDescent="0.25">
      <c r="A126" s="20"/>
      <c r="B126" s="20"/>
      <c r="C126" s="20"/>
      <c r="D126" s="20"/>
      <c r="E126" s="20"/>
    </row>
    <row r="127" spans="1:5" s="19" customFormat="1" ht="13.5" thickBot="1" x14ac:dyDescent="0.25">
      <c r="A127" s="20" t="s">
        <v>108</v>
      </c>
      <c r="B127" s="20"/>
      <c r="C127" s="87">
        <f>(C116*IF(C119&lt;=B122,(1+C122)^((MIN(C120,B122)-MAX(C119,DATE(YEAR(B141)-1,6,30)))/(B122-DATE(YEAR(B141)-1,6,30))),1)*IF(AND(C119&lt;=B123,C120&gt;=B122),(1+C123)^((MIN(C120,B123)-MAX(C119,B122))/(B123-B122)),1)*IF(AND(C119&lt;=B124,C120&gt;=B123),(1+C124)^((MIN(C120,B124)-MAX(C119,B123))/(B124-B123)),1)*IF(C120&gt;=B124,(1+C125)^((MIN(C120,B125)-MAX(C119,B124))/(B125-B124)),1))/BRCP_Calculation!B16</f>
        <v>5393.4284803121845</v>
      </c>
      <c r="D127" s="9" t="s">
        <v>53</v>
      </c>
    </row>
    <row r="128" spans="1:5" x14ac:dyDescent="0.2">
      <c r="A128" s="19"/>
      <c r="B128" s="19"/>
      <c r="C128" s="19"/>
      <c r="D128" s="19"/>
    </row>
    <row r="129" spans="1:6" ht="13.5" thickBot="1" x14ac:dyDescent="0.25"/>
    <row r="130" spans="1:6" ht="18.75" thickBot="1" x14ac:dyDescent="0.3">
      <c r="A130" s="6" t="s">
        <v>105</v>
      </c>
      <c r="B130" s="46"/>
      <c r="C130" s="10"/>
    </row>
    <row r="131" spans="1:6" ht="13.5" thickBot="1" x14ac:dyDescent="0.25">
      <c r="A131" s="19"/>
      <c r="B131" s="19"/>
      <c r="C131" s="19"/>
      <c r="D131" s="19"/>
    </row>
    <row r="132" spans="1:6" ht="13.5" thickBot="1" x14ac:dyDescent="0.25">
      <c r="A132" s="20" t="s">
        <v>69</v>
      </c>
      <c r="B132" s="21" t="s">
        <v>143</v>
      </c>
      <c r="C132" s="22"/>
      <c r="E132" s="19"/>
    </row>
    <row r="133" spans="1:6" ht="13.5" thickBot="1" x14ac:dyDescent="0.25">
      <c r="A133" s="23" t="s">
        <v>76</v>
      </c>
      <c r="B133" s="121">
        <v>2.0899999999999998E-3</v>
      </c>
      <c r="C133" s="44">
        <f>B133*PC!$C$4*1000*365</f>
        <v>116166.798</v>
      </c>
      <c r="D133" s="14"/>
      <c r="E133" s="19"/>
    </row>
    <row r="134" spans="1:6" ht="13.5" thickBot="1" x14ac:dyDescent="0.25">
      <c r="A134" s="23" t="s">
        <v>77</v>
      </c>
      <c r="B134" s="121">
        <v>10.11758</v>
      </c>
      <c r="C134" s="99">
        <f>B134*365</f>
        <v>3692.9167000000002</v>
      </c>
      <c r="E134" s="19"/>
    </row>
    <row r="135" spans="1:6" ht="13.5" thickBot="1" x14ac:dyDescent="0.25">
      <c r="A135" s="23" t="s">
        <v>75</v>
      </c>
      <c r="B135" s="121">
        <v>2.503E-2</v>
      </c>
      <c r="C135" s="40">
        <f>B135*PC!$C$4*1000*365</f>
        <v>1391222.466</v>
      </c>
      <c r="D135" s="19"/>
      <c r="E135" s="19"/>
    </row>
    <row r="136" spans="1:6" ht="13.5" thickBot="1" x14ac:dyDescent="0.25">
      <c r="A136" s="20" t="s">
        <v>70</v>
      </c>
      <c r="C136" s="100">
        <f>SUM(C133:C135)</f>
        <v>1511082.1806999999</v>
      </c>
      <c r="D136" s="19"/>
      <c r="E136" s="19"/>
      <c r="F136" s="102"/>
    </row>
    <row r="137" spans="1:6" ht="13.5" thickBot="1" x14ac:dyDescent="0.25">
      <c r="A137" s="24" t="s">
        <v>67</v>
      </c>
      <c r="B137" s="20"/>
      <c r="C137" s="33" t="s">
        <v>66</v>
      </c>
      <c r="D137" s="19"/>
      <c r="E137" s="19"/>
    </row>
    <row r="138" spans="1:6" s="19" customFormat="1" ht="13.5" thickBot="1" x14ac:dyDescent="0.25">
      <c r="A138" s="20" t="s">
        <v>112</v>
      </c>
      <c r="B138" s="20"/>
      <c r="C138" s="31">
        <v>43647</v>
      </c>
    </row>
    <row r="139" spans="1:6" s="19" customFormat="1" ht="13.5" thickBot="1" x14ac:dyDescent="0.25">
      <c r="A139" s="20" t="s">
        <v>113</v>
      </c>
      <c r="B139" s="20"/>
      <c r="C139" s="32">
        <v>44835</v>
      </c>
    </row>
    <row r="140" spans="1:6" ht="13.5" thickBot="1" x14ac:dyDescent="0.25">
      <c r="C140" s="20"/>
      <c r="D140" s="20"/>
      <c r="E140" s="19"/>
    </row>
    <row r="141" spans="1:6" ht="13.5" thickBot="1" x14ac:dyDescent="0.25">
      <c r="A141" s="14" t="s">
        <v>131</v>
      </c>
      <c r="B141" s="92">
        <f>ESCALATION_FACTORS!$B$4</f>
        <v>44012</v>
      </c>
      <c r="C141" s="101">
        <f>VLOOKUP($C$137,ESCALATION_FACTORS!$A$5:$E$9,2,)</f>
        <v>1.7500000000000002E-2</v>
      </c>
      <c r="E141" s="19"/>
    </row>
    <row r="142" spans="1:6" s="19" customFormat="1" ht="13.5" thickBot="1" x14ac:dyDescent="0.25">
      <c r="A142" s="20"/>
      <c r="B142" s="92">
        <f>ESCALATION_FACTORS!$C$4</f>
        <v>44377</v>
      </c>
      <c r="C142" s="101">
        <f>VLOOKUP($C$137,ESCALATION_FACTORS!$A$5:$E$9,3,)</f>
        <v>0.02</v>
      </c>
      <c r="D142" s="20"/>
    </row>
    <row r="143" spans="1:6" s="19" customFormat="1" ht="13.5" thickBot="1" x14ac:dyDescent="0.25">
      <c r="A143" s="20"/>
      <c r="B143" s="92">
        <f>ESCALATION_FACTORS!$D$4</f>
        <v>44742</v>
      </c>
      <c r="C143" s="101">
        <f>VLOOKUP($C$137,ESCALATION_FACTORS!$A$5:$E$9,4,)</f>
        <v>2.2499999999999999E-2</v>
      </c>
      <c r="D143" s="20"/>
    </row>
    <row r="144" spans="1:6" s="19" customFormat="1" ht="13.5" thickBot="1" x14ac:dyDescent="0.25">
      <c r="A144" s="9"/>
      <c r="B144" s="92">
        <f>ESCALATION_FACTORS!$E$4</f>
        <v>45107</v>
      </c>
      <c r="C144" s="101">
        <f>VLOOKUP($C$137,ESCALATION_FACTORS!$A$5:$E$9,5,)</f>
        <v>2.5000000000000001E-2</v>
      </c>
      <c r="D144" s="20"/>
    </row>
    <row r="145" spans="1:4" s="19" customFormat="1" ht="13.5" thickBot="1" x14ac:dyDescent="0.25">
      <c r="A145" s="20"/>
      <c r="B145" s="20"/>
      <c r="C145" s="20"/>
      <c r="D145" s="20"/>
    </row>
    <row r="146" spans="1:4" ht="13.5" thickBot="1" x14ac:dyDescent="0.25">
      <c r="A146" s="20" t="s">
        <v>71</v>
      </c>
      <c r="C146" s="87">
        <f>(C136*IF(C138&lt;=B141,(1+C141)^((MIN(C139,B141)-MAX(C138,DATE(YEAR(B141)-1,6,30)))/(B141-DATE(YEAR(B141)-1,6,30))),1)*IF(AND(C138&lt;=B142,C139&gt;=B141),(1+C142)^((MIN(C139,B142)-MAX(C138,B141))/(B142-B141)),1)*IF(AND(C138&lt;=B143,C139&gt;=B142),(1+C143)^((MIN(C139,B143)-MAX(C138,B142))/(B143-B142)),1)*IF(C139&gt;=B143,(1+C144)^((MIN(C139,B144)-MAX(C138,B143))/(B144-B143)),1))/BRCP_Calculation!B16</f>
        <v>10596.316427308388</v>
      </c>
      <c r="D146" s="9" t="s">
        <v>53</v>
      </c>
    </row>
    <row r="147" spans="1:4" x14ac:dyDescent="0.2">
      <c r="A147" s="19"/>
    </row>
    <row r="148" spans="1:4" ht="13.5" thickBot="1" x14ac:dyDescent="0.25">
      <c r="A148" s="26"/>
    </row>
    <row r="149" spans="1:4" ht="18.75" thickBot="1" x14ac:dyDescent="0.3">
      <c r="A149" s="166" t="s">
        <v>83</v>
      </c>
      <c r="B149" s="167"/>
      <c r="C149" s="35">
        <f>SUM($C102,$C68,$C34,$C127,C146)</f>
        <v>31168.014527213316</v>
      </c>
    </row>
    <row r="150" spans="1:4" x14ac:dyDescent="0.2">
      <c r="A150" s="24"/>
      <c r="B150" s="24"/>
    </row>
  </sheetData>
  <sheetProtection algorithmName="SHA-512" hashValue="yvyb1gWjhtGZ+j+d4b7eQaoCgq38PPi/u9hX1JqgY0tD5hYoElEY0n9qrKnE3sBa0hNAd9c68M+qEYrgGBFgjw==" saltValue="x6zTvwDrzugYXV4xOx35bg==" spinCount="100000" sheet="1" autoFilter="0"/>
  <mergeCells count="1">
    <mergeCell ref="A149:B149"/>
  </mergeCells>
  <phoneticPr fontId="4" type="noConversion"/>
  <pageMargins left="0.75" right="0.75" top="1" bottom="1" header="0.5" footer="0.5"/>
  <pageSetup paperSize="9" scale="31" fitToHeight="0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F24"/>
  <sheetViews>
    <sheetView showGridLines="0" zoomScaleNormal="100" workbookViewId="0">
      <selection activeCell="C36" sqref="C36"/>
    </sheetView>
  </sheetViews>
  <sheetFormatPr defaultColWidth="9.140625" defaultRowHeight="12.75" x14ac:dyDescent="0.2"/>
  <cols>
    <col min="1" max="1" width="57.5703125" style="64" bestFit="1" customWidth="1"/>
    <col min="2" max="2" width="23.5703125" style="64" customWidth="1"/>
    <col min="3" max="3" width="15.42578125" style="64" customWidth="1"/>
    <col min="4" max="4" width="22.28515625" style="64" bestFit="1" customWidth="1"/>
    <col min="5" max="5" width="14" style="64" customWidth="1"/>
    <col min="6" max="6" width="11.42578125" style="64" bestFit="1" customWidth="1"/>
    <col min="7" max="7" width="6.28515625" style="64" bestFit="1" customWidth="1"/>
    <col min="8" max="8" width="22.28515625" style="64" bestFit="1" customWidth="1"/>
    <col min="9" max="16384" width="9.140625" style="64"/>
  </cols>
  <sheetData>
    <row r="1" spans="1:6" s="8" customFormat="1" ht="18.75" thickBot="1" x14ac:dyDescent="0.3">
      <c r="A1" s="6" t="s">
        <v>1</v>
      </c>
      <c r="B1" s="78"/>
      <c r="C1" s="78"/>
      <c r="D1" s="7"/>
    </row>
    <row r="2" spans="1:6" s="26" customFormat="1" ht="13.5" thickBot="1" x14ac:dyDescent="0.25">
      <c r="C2" s="19"/>
    </row>
    <row r="3" spans="1:6" ht="13.5" thickBot="1" x14ac:dyDescent="0.25">
      <c r="A3" s="36" t="s">
        <v>2</v>
      </c>
      <c r="B3" s="79" t="s">
        <v>115</v>
      </c>
      <c r="C3" s="79" t="s">
        <v>3</v>
      </c>
      <c r="D3" s="79" t="s">
        <v>20</v>
      </c>
    </row>
    <row r="4" spans="1:6" ht="13.5" thickBot="1" x14ac:dyDescent="0.25">
      <c r="A4" s="80" t="s">
        <v>11</v>
      </c>
      <c r="B4" s="80" t="s">
        <v>94</v>
      </c>
      <c r="C4" s="142">
        <v>0.98</v>
      </c>
      <c r="D4" s="23">
        <f>C4/100</f>
        <v>9.7999999999999997E-3</v>
      </c>
      <c r="E4" s="23"/>
      <c r="F4" s="26"/>
    </row>
    <row r="5" spans="1:6" ht="13.5" thickBot="1" x14ac:dyDescent="0.25">
      <c r="A5" s="80" t="s">
        <v>4</v>
      </c>
      <c r="B5" s="80" t="s">
        <v>94</v>
      </c>
      <c r="C5" s="121">
        <v>2.36</v>
      </c>
      <c r="D5" s="23">
        <f>C5/100</f>
        <v>2.3599999999999999E-2</v>
      </c>
      <c r="E5" s="23"/>
      <c r="F5" s="26"/>
    </row>
    <row r="6" spans="1:6" ht="13.5" thickBot="1" x14ac:dyDescent="0.25">
      <c r="A6" s="80" t="s">
        <v>5</v>
      </c>
      <c r="B6" s="80" t="s">
        <v>94</v>
      </c>
      <c r="C6" s="142">
        <f>((1+C4/100)/(1+C5/100)-1)*100</f>
        <v>-1.348182883939042</v>
      </c>
      <c r="D6" s="23">
        <f>C6/100</f>
        <v>-1.348182883939042E-2</v>
      </c>
      <c r="E6" s="23"/>
      <c r="F6" s="26"/>
    </row>
    <row r="7" spans="1:6" ht="13.5" thickBot="1" x14ac:dyDescent="0.25">
      <c r="A7" s="23" t="s">
        <v>12</v>
      </c>
      <c r="B7" s="23" t="s">
        <v>95</v>
      </c>
      <c r="C7" s="30">
        <v>6</v>
      </c>
      <c r="D7" s="23">
        <f>C7/100</f>
        <v>0.06</v>
      </c>
      <c r="E7" s="23"/>
      <c r="F7" s="26"/>
    </row>
    <row r="8" spans="1:6" ht="13.5" thickBot="1" x14ac:dyDescent="0.25">
      <c r="A8" s="23" t="s">
        <v>6</v>
      </c>
      <c r="B8" s="23" t="s">
        <v>95</v>
      </c>
      <c r="C8" s="30">
        <v>0.5</v>
      </c>
      <c r="D8" s="23">
        <f>C8</f>
        <v>0.5</v>
      </c>
      <c r="E8" s="23"/>
      <c r="F8" s="26"/>
    </row>
    <row r="9" spans="1:6" ht="13.5" thickBot="1" x14ac:dyDescent="0.25">
      <c r="A9" s="23" t="s">
        <v>7</v>
      </c>
      <c r="B9" s="23" t="s">
        <v>95</v>
      </c>
      <c r="C9" s="30">
        <v>0.83</v>
      </c>
      <c r="D9" s="23">
        <f>C9</f>
        <v>0.83</v>
      </c>
      <c r="E9" s="23"/>
      <c r="F9" s="26"/>
    </row>
    <row r="10" spans="1:6" ht="13.5" thickBot="1" x14ac:dyDescent="0.25">
      <c r="A10" s="80" t="s">
        <v>96</v>
      </c>
      <c r="B10" s="23" t="s">
        <v>94</v>
      </c>
      <c r="C10" s="121">
        <v>2.23</v>
      </c>
      <c r="D10" s="23">
        <f>C10/100</f>
        <v>2.23E-2</v>
      </c>
      <c r="E10" s="23"/>
      <c r="F10" s="26"/>
    </row>
    <row r="11" spans="1:6" ht="13.5" thickBot="1" x14ac:dyDescent="0.25">
      <c r="A11" s="23" t="s">
        <v>100</v>
      </c>
      <c r="B11" s="23" t="s">
        <v>101</v>
      </c>
      <c r="C11" s="30">
        <v>0.125</v>
      </c>
      <c r="D11" s="23">
        <f>C11/100</f>
        <v>1.25E-3</v>
      </c>
      <c r="E11" s="23"/>
      <c r="F11" s="26"/>
    </row>
    <row r="12" spans="1:6" ht="13.5" thickBot="1" x14ac:dyDescent="0.25">
      <c r="A12" s="23" t="s">
        <v>8</v>
      </c>
      <c r="B12" s="23" t="s">
        <v>94</v>
      </c>
      <c r="C12" s="29">
        <v>30</v>
      </c>
      <c r="D12" s="23">
        <f>C12/100</f>
        <v>0.3</v>
      </c>
      <c r="E12" s="23"/>
      <c r="F12" s="26"/>
    </row>
    <row r="13" spans="1:6" ht="13.5" thickBot="1" x14ac:dyDescent="0.25">
      <c r="A13" s="23" t="s">
        <v>13</v>
      </c>
      <c r="B13" s="23" t="s">
        <v>95</v>
      </c>
      <c r="C13" s="30">
        <v>0.25</v>
      </c>
      <c r="D13" s="23">
        <f>C13</f>
        <v>0.25</v>
      </c>
      <c r="E13" s="23"/>
      <c r="F13" s="26"/>
    </row>
    <row r="14" spans="1:6" ht="13.5" thickBot="1" x14ac:dyDescent="0.25">
      <c r="A14" s="23" t="s">
        <v>9</v>
      </c>
      <c r="B14" s="23" t="s">
        <v>95</v>
      </c>
      <c r="C14" s="30">
        <v>40</v>
      </c>
      <c r="D14" s="23">
        <f>C14/100</f>
        <v>0.4</v>
      </c>
      <c r="E14" s="23"/>
      <c r="F14" s="26"/>
    </row>
    <row r="15" spans="1:6" ht="13.5" thickBot="1" x14ac:dyDescent="0.25">
      <c r="A15" s="23" t="s">
        <v>10</v>
      </c>
      <c r="B15" s="23" t="s">
        <v>95</v>
      </c>
      <c r="C15" s="30">
        <v>60</v>
      </c>
      <c r="D15" s="23">
        <f>C15/100</f>
        <v>0.6</v>
      </c>
      <c r="E15" s="23"/>
      <c r="F15" s="26"/>
    </row>
    <row r="16" spans="1:6" ht="13.5" thickBot="1" x14ac:dyDescent="0.25">
      <c r="C16" s="81"/>
      <c r="E16" s="23"/>
    </row>
    <row r="17" spans="1:5" ht="13.5" thickBot="1" x14ac:dyDescent="0.25">
      <c r="A17" s="82" t="s">
        <v>26</v>
      </c>
      <c r="B17" s="83">
        <f>D4+D10+D11</f>
        <v>3.3350000000000005E-2</v>
      </c>
      <c r="E17" s="23"/>
    </row>
    <row r="18" spans="1:5" ht="13.5" thickBot="1" x14ac:dyDescent="0.25">
      <c r="A18" s="82" t="s">
        <v>25</v>
      </c>
      <c r="B18" s="84">
        <f>D4+(D9*D7)</f>
        <v>5.96E-2</v>
      </c>
      <c r="E18" s="23"/>
    </row>
    <row r="19" spans="1:5" ht="13.5" thickBot="1" x14ac:dyDescent="0.25">
      <c r="A19" s="26"/>
      <c r="B19" s="80"/>
      <c r="E19" s="23"/>
    </row>
    <row r="20" spans="1:5" ht="13.5" thickBot="1" x14ac:dyDescent="0.25">
      <c r="A20" s="24" t="s">
        <v>28</v>
      </c>
      <c r="B20" s="84">
        <f>((1/(1-D12*(1-D13)))*(B18*D15))+(B17*D14)</f>
        <v>5.9481935483870971E-2</v>
      </c>
      <c r="E20" s="23"/>
    </row>
    <row r="21" spans="1:5" ht="13.5" thickBot="1" x14ac:dyDescent="0.25">
      <c r="A21" s="24" t="s">
        <v>27</v>
      </c>
      <c r="B21" s="85">
        <f>((1+B20)/(1+D5))-1</f>
        <v>3.5054645841999577E-2</v>
      </c>
      <c r="E21" s="23"/>
    </row>
    <row r="24" spans="1:5" x14ac:dyDescent="0.2">
      <c r="C24" s="26"/>
    </row>
  </sheetData>
  <sheetProtection formatCells="0" formatColumns="0" formatRows="0"/>
  <phoneticPr fontId="4" type="noConversion"/>
  <pageMargins left="0.75" right="0.75" top="1" bottom="1" header="0.5" footer="0.5"/>
  <pageSetup paperSize="9" orientation="landscape" r:id="rId1"/>
  <headerFooter alignWithMargins="0"/>
  <ignoredErrors>
    <ignoredError sqref="D1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H16"/>
  <sheetViews>
    <sheetView showGridLines="0" workbookViewId="0">
      <selection activeCell="C3" sqref="C3"/>
    </sheetView>
  </sheetViews>
  <sheetFormatPr defaultColWidth="9.140625" defaultRowHeight="12.75" x14ac:dyDescent="0.2"/>
  <cols>
    <col min="1" max="1" width="32.7109375" style="9" bestFit="1" customWidth="1"/>
    <col min="2" max="2" width="15" style="9" customWidth="1"/>
    <col min="3" max="3" width="22.140625" style="9" bestFit="1" customWidth="1"/>
    <col min="4" max="4" width="9.140625" style="9"/>
    <col min="5" max="5" width="13.140625" style="9" bestFit="1" customWidth="1"/>
    <col min="6" max="6" width="9.140625" style="9"/>
    <col min="7" max="7" width="10.140625" style="9" bestFit="1" customWidth="1"/>
    <col min="8" max="16384" width="9.140625" style="9"/>
  </cols>
  <sheetData>
    <row r="1" spans="1:8" s="8" customFormat="1" ht="18.75" thickBot="1" x14ac:dyDescent="0.3">
      <c r="A1" s="6" t="s">
        <v>88</v>
      </c>
      <c r="B1" s="46"/>
      <c r="C1" s="7"/>
    </row>
    <row r="2" spans="1:8" ht="13.5" thickBot="1" x14ac:dyDescent="0.25">
      <c r="E2" s="19"/>
    </row>
    <row r="3" spans="1:8" ht="13.5" thickBot="1" x14ac:dyDescent="0.25">
      <c r="A3" s="131" t="s">
        <v>160</v>
      </c>
      <c r="C3" s="2">
        <v>128074500</v>
      </c>
      <c r="E3" s="19"/>
    </row>
    <row r="4" spans="1:8" ht="13.5" thickBot="1" x14ac:dyDescent="0.25">
      <c r="A4" s="9" t="s">
        <v>29</v>
      </c>
      <c r="C4" s="141">
        <v>152.28</v>
      </c>
      <c r="D4" s="64"/>
      <c r="E4" s="19"/>
    </row>
    <row r="5" spans="1:8" ht="13.5" thickBot="1" x14ac:dyDescent="0.25">
      <c r="C5" s="25"/>
      <c r="E5" s="19"/>
    </row>
    <row r="6" spans="1:8" ht="13.5" thickBot="1" x14ac:dyDescent="0.25">
      <c r="A6" s="9" t="s">
        <v>30</v>
      </c>
      <c r="C6" s="43">
        <f>C3/C4</f>
        <v>841046.09929078014</v>
      </c>
      <c r="E6" s="19"/>
    </row>
    <row r="7" spans="1:8" ht="13.5" thickBot="1" x14ac:dyDescent="0.25">
      <c r="C7" s="25"/>
      <c r="E7" s="19"/>
    </row>
    <row r="8" spans="1:8" ht="13.5" thickBot="1" x14ac:dyDescent="0.25">
      <c r="A8" s="9" t="s">
        <v>67</v>
      </c>
      <c r="C8" s="33" t="s">
        <v>82</v>
      </c>
      <c r="E8" s="19"/>
    </row>
    <row r="9" spans="1:8" s="19" customFormat="1" ht="13.5" thickBot="1" x14ac:dyDescent="0.25">
      <c r="A9" s="20" t="s">
        <v>112</v>
      </c>
      <c r="B9" s="20"/>
      <c r="C9" s="31">
        <v>43646</v>
      </c>
    </row>
    <row r="10" spans="1:8" s="19" customFormat="1" ht="13.5" thickBot="1" x14ac:dyDescent="0.25">
      <c r="A10" s="20" t="s">
        <v>113</v>
      </c>
      <c r="B10" s="20"/>
      <c r="C10" s="32">
        <v>44652</v>
      </c>
    </row>
    <row r="11" spans="1:8" ht="13.5" thickBot="1" x14ac:dyDescent="0.25">
      <c r="D11" s="20"/>
      <c r="E11" s="20"/>
    </row>
    <row r="12" spans="1:8" ht="13.5" thickBot="1" x14ac:dyDescent="0.25">
      <c r="A12" s="14" t="s">
        <v>131</v>
      </c>
      <c r="B12" s="92">
        <f>ESCALATION_FACTORS!$B$4</f>
        <v>44012</v>
      </c>
      <c r="C12" s="164">
        <f>ESCALATION_FACTORS!B5</f>
        <v>5.3999999999999999E-2</v>
      </c>
    </row>
    <row r="13" spans="1:8" ht="13.5" thickBot="1" x14ac:dyDescent="0.25">
      <c r="A13" s="20"/>
      <c r="B13" s="92">
        <f>ESCALATION_FACTORS!$C$4</f>
        <v>44377</v>
      </c>
      <c r="C13" s="165">
        <f>ESCALATION_FACTORS!C5</f>
        <v>-3.1E-2</v>
      </c>
    </row>
    <row r="14" spans="1:8" ht="13.5" thickBot="1" x14ac:dyDescent="0.25">
      <c r="A14" s="20"/>
      <c r="B14" s="92">
        <f>ESCALATION_FACTORS!$D$4</f>
        <v>44742</v>
      </c>
      <c r="C14" s="165">
        <f>ESCALATION_FACTORS!D5</f>
        <v>1E-3</v>
      </c>
    </row>
    <row r="15" spans="1:8" s="19" customFormat="1" ht="13.5" thickBot="1" x14ac:dyDescent="0.25">
      <c r="A15" s="20"/>
      <c r="B15" s="20"/>
      <c r="C15" s="20"/>
      <c r="D15" s="20"/>
      <c r="E15" s="20"/>
      <c r="H15" s="131"/>
    </row>
    <row r="16" spans="1:8" ht="13.5" thickBot="1" x14ac:dyDescent="0.25">
      <c r="A16" s="20" t="s">
        <v>88</v>
      </c>
      <c r="B16" s="20"/>
      <c r="C16" s="87">
        <f>C6*IF(C9&lt;=B12,(1+C12)^((MIN(C10,B12)-MAX(C9,DATE(YEAR(B12)-1,6,30)))/(B12-DATE(YEAR(B12)-1,6,30))),1)*IF(AND(C9&lt;=B13,C10&gt;=B12),(1+C13)^((MIN(C10,B13)-MAX(C9,B12))/(B13-B12)),1)*IF(C10&gt;=B13,(1+C14)^((C10-MAX(C9,B13))/(B14-B13)),1)</f>
        <v>859629.34705460432</v>
      </c>
      <c r="F16" s="133"/>
      <c r="G16" s="151"/>
      <c r="H16" s="130"/>
    </row>
  </sheetData>
  <sheetProtection algorithmName="SHA-512" hashValue="J1MUuVGHwd5mlT/vvPqm1AR3vkptvepWUIliQ4vAOmUycwDk7cEFsMqTY01v78W2rcd0XF7pmWcFXVtOCbVYnQ==" saltValue="E01NM1ccKXFl8BSQNOWflA==" spinCount="100000" sheet="1" objects="1" scenarios="1" selectLockedCells="1"/>
  <phoneticPr fontId="4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D6"/>
  <sheetViews>
    <sheetView showGridLines="0" workbookViewId="0">
      <selection activeCell="I24" sqref="I24"/>
    </sheetView>
  </sheetViews>
  <sheetFormatPr defaultColWidth="9.140625" defaultRowHeight="12.75" x14ac:dyDescent="0.2"/>
  <cols>
    <col min="1" max="1" width="32.7109375" style="9" bestFit="1" customWidth="1"/>
    <col min="2" max="16384" width="9.140625" style="9"/>
  </cols>
  <sheetData>
    <row r="1" spans="1:4" s="8" customFormat="1" ht="18.75" thickBot="1" x14ac:dyDescent="0.3">
      <c r="A1" s="6" t="s">
        <v>16</v>
      </c>
      <c r="B1" s="7"/>
    </row>
    <row r="2" spans="1:4" ht="13.5" thickBot="1" x14ac:dyDescent="0.25">
      <c r="D2" s="19"/>
    </row>
    <row r="3" spans="1:4" ht="13.5" thickBot="1" x14ac:dyDescent="0.25">
      <c r="A3" s="14" t="s">
        <v>31</v>
      </c>
      <c r="B3" s="120">
        <f>21982618/128074500</f>
        <v>0.17163930368652619</v>
      </c>
      <c r="D3" s="19"/>
    </row>
    <row r="4" spans="1:4" x14ac:dyDescent="0.2">
      <c r="D4" s="19"/>
    </row>
    <row r="5" spans="1:4" x14ac:dyDescent="0.2">
      <c r="D5" s="19"/>
    </row>
    <row r="6" spans="1:4" x14ac:dyDescent="0.2">
      <c r="D6" s="19"/>
    </row>
  </sheetData>
  <sheetProtection algorithmName="SHA-512" hashValue="kwwrSQm/wDQMfGBBsVEo9vpCj45qhZ/8Xaom49VSdTQp2KumZjwlH+jduiwGuUZXzU9+Of1axsgK11qC1k4wiA==" saltValue="Hd1kSSUWxK8/sqmg1taHiA==" spinCount="100000" sheet="1" formatCells="0" formatColumns="0" formatRows="0"/>
  <phoneticPr fontId="4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I17"/>
  <sheetViews>
    <sheetView showGridLines="0" zoomScaleNormal="100" workbookViewId="0">
      <selection activeCell="B3" sqref="B3"/>
    </sheetView>
  </sheetViews>
  <sheetFormatPr defaultColWidth="9.140625" defaultRowHeight="12.75" x14ac:dyDescent="0.2"/>
  <cols>
    <col min="1" max="1" width="31.28515625" style="9" customWidth="1"/>
    <col min="2" max="2" width="30.5703125" style="9" customWidth="1"/>
    <col min="3" max="3" width="9.140625" style="9"/>
    <col min="4" max="4" width="11.140625" style="9" bestFit="1" customWidth="1"/>
    <col min="5" max="6" width="9.140625" style="9"/>
    <col min="7" max="7" width="9.140625" style="9" customWidth="1"/>
    <col min="8" max="8" width="9.140625" style="9"/>
    <col min="9" max="9" width="9.140625" style="9" customWidth="1"/>
    <col min="10" max="16384" width="9.140625" style="9"/>
  </cols>
  <sheetData>
    <row r="1" spans="1:9" s="19" customFormat="1" ht="18.75" thickBot="1" x14ac:dyDescent="0.3">
      <c r="A1" s="6" t="s">
        <v>132</v>
      </c>
      <c r="B1" s="27"/>
      <c r="D1" s="26"/>
    </row>
    <row r="2" spans="1:9" ht="13.5" customHeight="1" thickBot="1" x14ac:dyDescent="0.25">
      <c r="D2" s="19"/>
    </row>
    <row r="3" spans="1:9" ht="13.5" thickBot="1" x14ac:dyDescent="0.25">
      <c r="A3" s="14" t="s">
        <v>103</v>
      </c>
      <c r="B3" s="122">
        <v>181760</v>
      </c>
      <c r="D3" s="161"/>
    </row>
    <row r="4" spans="1:9" ht="13.5" thickBot="1" x14ac:dyDescent="0.25">
      <c r="A4" s="12"/>
      <c r="D4" s="19"/>
    </row>
    <row r="5" spans="1:9" x14ac:dyDescent="0.2">
      <c r="A5" s="80" t="s">
        <v>102</v>
      </c>
      <c r="B5" s="34" t="s">
        <v>128</v>
      </c>
      <c r="D5" s="19"/>
    </row>
    <row r="6" spans="1:9" s="19" customFormat="1" ht="13.5" thickBot="1" x14ac:dyDescent="0.25">
      <c r="A6" s="20" t="s">
        <v>112</v>
      </c>
      <c r="B6" s="32">
        <v>44652</v>
      </c>
    </row>
    <row r="7" spans="1:9" s="19" customFormat="1" ht="13.5" thickBot="1" x14ac:dyDescent="0.25">
      <c r="A7" s="20" t="s">
        <v>113</v>
      </c>
      <c r="B7" s="32">
        <v>44652</v>
      </c>
    </row>
    <row r="8" spans="1:9" ht="13.5" thickBot="1" x14ac:dyDescent="0.25">
      <c r="C8" s="20"/>
      <c r="D8" s="20"/>
    </row>
    <row r="9" spans="1:9" ht="13.5" thickBot="1" x14ac:dyDescent="0.25">
      <c r="A9" s="93" t="s">
        <v>68</v>
      </c>
      <c r="B9" s="94">
        <f>VLOOKUP(B5,ESCALATION_FACTORS!$A$5:$E$9,2,)</f>
        <v>1.1900000000000001E-2</v>
      </c>
      <c r="D9" s="19"/>
    </row>
    <row r="10" spans="1:9" ht="13.5" thickBot="1" x14ac:dyDescent="0.25">
      <c r="D10" s="19"/>
    </row>
    <row r="11" spans="1:9" ht="13.5" thickBot="1" x14ac:dyDescent="0.25">
      <c r="A11" s="14" t="s">
        <v>89</v>
      </c>
      <c r="B11" s="35">
        <f>B3*(1+B9)^((B7-B6)/365)</f>
        <v>181760</v>
      </c>
      <c r="D11" s="19"/>
    </row>
    <row r="12" spans="1:9" x14ac:dyDescent="0.2">
      <c r="D12" s="19"/>
    </row>
    <row r="13" spans="1:9" x14ac:dyDescent="0.2">
      <c r="D13" s="19"/>
    </row>
    <row r="14" spans="1:9" x14ac:dyDescent="0.2">
      <c r="D14" s="19"/>
    </row>
    <row r="15" spans="1:9" x14ac:dyDescent="0.2">
      <c r="D15" s="19"/>
      <c r="G15" s="25"/>
      <c r="H15" s="25"/>
      <c r="I15" s="25"/>
    </row>
    <row r="16" spans="1:9" ht="15" x14ac:dyDescent="0.2">
      <c r="G16" s="162"/>
      <c r="H16" s="162"/>
      <c r="I16" s="163"/>
    </row>
    <row r="17" spans="9:9" x14ac:dyDescent="0.2">
      <c r="I17" s="45"/>
    </row>
  </sheetData>
  <sheetProtection algorithmName="SHA-512" hashValue="wBlWtG+AT37daNVjPhhig9EybPLD0BWikD0b0Qq0GEBBL8gNGEmxbPUyLGTp8IQt+qnoUXmsLldcXU3qTeAXrg==" saltValue="vPoAw5PrwJuu/ppD9nOoHw==" spinCount="100000" sheet="1" formatCells="0" formatColumns="0" formatRows="0"/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fitToPage="1"/>
  </sheetPr>
  <dimension ref="A1:J32"/>
  <sheetViews>
    <sheetView showGridLines="0" workbookViewId="0">
      <selection activeCell="I25" sqref="I24:I25"/>
    </sheetView>
  </sheetViews>
  <sheetFormatPr defaultColWidth="9.140625" defaultRowHeight="12.75" x14ac:dyDescent="0.2"/>
  <cols>
    <col min="1" max="1" width="35" style="9" bestFit="1" customWidth="1"/>
    <col min="2" max="2" width="21.85546875" style="9" customWidth="1"/>
    <col min="3" max="3" width="21.140625" style="9" bestFit="1" customWidth="1"/>
    <col min="4" max="4" width="24.7109375" style="9" bestFit="1" customWidth="1"/>
    <col min="5" max="5" width="15.140625" style="90" bestFit="1" customWidth="1"/>
    <col min="6" max="6" width="9.140625" style="9"/>
    <col min="7" max="7" width="8.5703125" style="9" customWidth="1"/>
    <col min="8" max="16384" width="9.140625" style="9"/>
  </cols>
  <sheetData>
    <row r="1" spans="1:10" s="19" customFormat="1" ht="18.75" thickBot="1" x14ac:dyDescent="0.3">
      <c r="A1" s="6" t="s">
        <v>91</v>
      </c>
      <c r="B1" s="46"/>
      <c r="C1" s="88"/>
      <c r="D1" s="88"/>
      <c r="E1" s="86"/>
      <c r="I1" s="24"/>
    </row>
    <row r="3" spans="1:10" x14ac:dyDescent="0.2">
      <c r="A3" s="14" t="s">
        <v>54</v>
      </c>
      <c r="B3" s="14" t="s">
        <v>61</v>
      </c>
      <c r="C3" s="14" t="s">
        <v>63</v>
      </c>
      <c r="D3" s="103" t="s">
        <v>138</v>
      </c>
      <c r="E3" s="89" t="s">
        <v>64</v>
      </c>
      <c r="G3" s="130" t="s">
        <v>149</v>
      </c>
    </row>
    <row r="4" spans="1:10" ht="13.5" thickBot="1" x14ac:dyDescent="0.25">
      <c r="G4" s="102" t="s">
        <v>137</v>
      </c>
    </row>
    <row r="5" spans="1:10" ht="13.5" thickBot="1" x14ac:dyDescent="0.25">
      <c r="A5" s="9" t="s">
        <v>55</v>
      </c>
      <c r="B5" s="3">
        <v>3</v>
      </c>
      <c r="C5" s="123">
        <v>1250000</v>
      </c>
      <c r="D5" s="123">
        <v>187040</v>
      </c>
      <c r="E5" s="91">
        <f>B5*C5+D5</f>
        <v>3937040</v>
      </c>
      <c r="G5" s="19"/>
      <c r="H5" s="19"/>
      <c r="I5" s="19"/>
      <c r="J5" s="19"/>
    </row>
    <row r="6" spans="1:10" ht="13.5" thickBot="1" x14ac:dyDescent="0.25">
      <c r="A6" s="9" t="s">
        <v>56</v>
      </c>
      <c r="B6" s="3">
        <v>3</v>
      </c>
      <c r="C6" s="123">
        <v>2000000</v>
      </c>
      <c r="D6" s="123">
        <v>302915</v>
      </c>
      <c r="E6" s="91">
        <f t="shared" ref="E6:E10" si="0">B6*C6+D6</f>
        <v>6302915</v>
      </c>
      <c r="G6" s="19"/>
      <c r="H6" s="19"/>
      <c r="I6" s="19"/>
      <c r="J6" s="19"/>
    </row>
    <row r="7" spans="1:10" ht="13.5" thickBot="1" x14ac:dyDescent="0.25">
      <c r="A7" s="9" t="s">
        <v>57</v>
      </c>
      <c r="B7" s="3">
        <v>5</v>
      </c>
      <c r="C7" s="123">
        <v>325000</v>
      </c>
      <c r="D7" s="123">
        <v>77602.5</v>
      </c>
      <c r="E7" s="91">
        <f t="shared" si="0"/>
        <v>1702602.5</v>
      </c>
      <c r="G7" s="19"/>
      <c r="H7" s="19"/>
      <c r="I7" s="19"/>
      <c r="J7" s="19"/>
    </row>
    <row r="8" spans="1:10" ht="13.5" thickBot="1" x14ac:dyDescent="0.25">
      <c r="A8" s="9" t="s">
        <v>58</v>
      </c>
      <c r="B8" s="3">
        <v>3</v>
      </c>
      <c r="C8" s="123">
        <v>110000</v>
      </c>
      <c r="D8" s="123">
        <v>11590</v>
      </c>
      <c r="E8" s="91">
        <f>B8*C8+D8</f>
        <v>341590</v>
      </c>
      <c r="G8" s="19"/>
      <c r="H8" s="19"/>
      <c r="I8" s="19"/>
      <c r="J8" s="19"/>
    </row>
    <row r="9" spans="1:10" ht="13.5" thickBot="1" x14ac:dyDescent="0.25">
      <c r="A9" s="9" t="s">
        <v>62</v>
      </c>
      <c r="B9" s="3">
        <v>3</v>
      </c>
      <c r="C9" s="123">
        <v>125000</v>
      </c>
      <c r="D9" s="123">
        <v>13727.5</v>
      </c>
      <c r="E9" s="91">
        <f t="shared" si="0"/>
        <v>388727.5</v>
      </c>
      <c r="G9" s="19"/>
      <c r="H9" s="19"/>
      <c r="I9" s="19"/>
      <c r="J9" s="19"/>
    </row>
    <row r="10" spans="1:10" ht="13.5" thickBot="1" x14ac:dyDescent="0.25">
      <c r="A10" s="9" t="s">
        <v>59</v>
      </c>
      <c r="B10" s="3">
        <v>3</v>
      </c>
      <c r="C10" s="123">
        <v>35000</v>
      </c>
      <c r="D10" s="123">
        <v>2280</v>
      </c>
      <c r="E10" s="91">
        <f t="shared" si="0"/>
        <v>107280</v>
      </c>
      <c r="G10" s="19"/>
      <c r="H10" s="19"/>
      <c r="I10" s="19"/>
      <c r="J10" s="19"/>
    </row>
    <row r="11" spans="1:10" ht="13.5" thickBot="1" x14ac:dyDescent="0.25">
      <c r="A11" s="9" t="s">
        <v>60</v>
      </c>
      <c r="B11" s="4">
        <v>3</v>
      </c>
      <c r="C11" s="124">
        <v>600000</v>
      </c>
      <c r="D11" s="124">
        <v>86615</v>
      </c>
      <c r="E11" s="91">
        <f>B11*C11+D11</f>
        <v>1886615</v>
      </c>
      <c r="G11" s="19"/>
      <c r="H11" s="19"/>
      <c r="I11" s="19"/>
      <c r="J11" s="19"/>
    </row>
    <row r="12" spans="1:10" ht="13.5" thickBot="1" x14ac:dyDescent="0.25">
      <c r="A12" s="14" t="s">
        <v>98</v>
      </c>
      <c r="E12" s="87">
        <f>(SUM(E5:E8)+0.5*(E9+E10)+E11)/6</f>
        <v>2403127.7083333335</v>
      </c>
      <c r="G12" s="19"/>
      <c r="H12" s="19"/>
      <c r="I12" s="19"/>
      <c r="J12" s="19"/>
    </row>
    <row r="13" spans="1:10" ht="13.5" thickBot="1" x14ac:dyDescent="0.25">
      <c r="G13" s="19"/>
      <c r="H13" s="19"/>
      <c r="I13" s="19"/>
      <c r="J13" s="19"/>
    </row>
    <row r="14" spans="1:10" s="19" customFormat="1" ht="13.5" thickBot="1" x14ac:dyDescent="0.25">
      <c r="A14" s="20" t="s">
        <v>67</v>
      </c>
      <c r="B14" s="20"/>
      <c r="C14" s="20"/>
      <c r="D14" s="20"/>
      <c r="E14" s="16" t="s">
        <v>66</v>
      </c>
    </row>
    <row r="15" spans="1:10" s="19" customFormat="1" ht="13.5" thickBot="1" x14ac:dyDescent="0.25">
      <c r="A15" s="20" t="s">
        <v>112</v>
      </c>
      <c r="B15" s="20"/>
      <c r="C15" s="20"/>
      <c r="D15" s="20"/>
      <c r="E15" s="31">
        <v>43646</v>
      </c>
    </row>
    <row r="16" spans="1:10" s="19" customFormat="1" ht="13.5" thickBot="1" x14ac:dyDescent="0.25">
      <c r="A16" s="20" t="s">
        <v>113</v>
      </c>
      <c r="B16" s="20"/>
      <c r="C16" s="20"/>
      <c r="D16" s="20"/>
      <c r="E16" s="32">
        <v>44652</v>
      </c>
    </row>
    <row r="17" spans="1:7" ht="13.5" thickBot="1" x14ac:dyDescent="0.25">
      <c r="G17" s="19"/>
    </row>
    <row r="18" spans="1:7" ht="13.5" thickBot="1" x14ac:dyDescent="0.25">
      <c r="A18" s="20" t="s">
        <v>68</v>
      </c>
      <c r="C18" s="14" t="s">
        <v>130</v>
      </c>
      <c r="D18" s="92">
        <f>ESCALATION_FACTORS!$B$4</f>
        <v>44012</v>
      </c>
      <c r="E18" s="101">
        <f>VLOOKUP($E$14,ESCALATION_FACTORS!$A$5:$E$9,2,)</f>
        <v>1.7500000000000002E-2</v>
      </c>
      <c r="G18" s="19"/>
    </row>
    <row r="19" spans="1:7" ht="13.5" thickBot="1" x14ac:dyDescent="0.25">
      <c r="B19" s="14"/>
      <c r="D19" s="92">
        <f>ESCALATION_FACTORS!$C$4</f>
        <v>44377</v>
      </c>
      <c r="E19" s="101">
        <f>VLOOKUP($E$14,ESCALATION_FACTORS!$A$5:$E$9,3,)</f>
        <v>0.02</v>
      </c>
      <c r="G19" s="19"/>
    </row>
    <row r="20" spans="1:7" ht="13.5" thickBot="1" x14ac:dyDescent="0.25">
      <c r="B20" s="14"/>
      <c r="D20" s="92">
        <f>ESCALATION_FACTORS!$D$4</f>
        <v>44742</v>
      </c>
      <c r="E20" s="101">
        <f>VLOOKUP($E$14,ESCALATION_FACTORS!$A$5:$E$9,4,)</f>
        <v>2.2499999999999999E-2</v>
      </c>
      <c r="G20" s="24"/>
    </row>
    <row r="21" spans="1:7" ht="13.5" thickBot="1" x14ac:dyDescent="0.25">
      <c r="G21" s="19"/>
    </row>
    <row r="22" spans="1:7" ht="13.5" thickBot="1" x14ac:dyDescent="0.25">
      <c r="A22" s="14" t="s">
        <v>91</v>
      </c>
      <c r="E22" s="87">
        <f>E12*IF(E15&lt;=D18,(1+E18)^((MIN(E16,D18)-MAX(E15,DATE(YEAR(D18)-1,6,30)))/(D18-DATE(YEAR(D18)-1,6,30))),1)*IF(AND(E15&lt;=D19,E16&gt;=D18),(1+E19)^((MIN(E16,D19)-MAX(E15,D18))/(D19-D18)),1)*IF(E16&gt;=D19,(1+E20)^((E16-MAX(E15,D19))/(D20-D19)),1)</f>
        <v>2536249.7758095991</v>
      </c>
    </row>
    <row r="28" spans="1:7" ht="13.5" thickBot="1" x14ac:dyDescent="0.25"/>
    <row r="29" spans="1:7" ht="13.5" thickBot="1" x14ac:dyDescent="0.25">
      <c r="A29" s="134" t="s">
        <v>135</v>
      </c>
      <c r="B29" s="135">
        <f>E12</f>
        <v>2403127.7083333335</v>
      </c>
      <c r="G29" s="17"/>
    </row>
    <row r="30" spans="1:7" ht="13.5" thickBot="1" x14ac:dyDescent="0.25">
      <c r="A30" s="136" t="s">
        <v>136</v>
      </c>
      <c r="B30" s="137">
        <f>B29/3</f>
        <v>801042.5694444445</v>
      </c>
      <c r="G30" s="110"/>
    </row>
    <row r="31" spans="1:7" ht="13.5" thickBot="1" x14ac:dyDescent="0.25">
      <c r="A31" s="138" t="s">
        <v>166</v>
      </c>
      <c r="B31" s="139">
        <f>B30*12*50%</f>
        <v>4806255.416666667</v>
      </c>
      <c r="G31" s="45"/>
    </row>
    <row r="32" spans="1:7" ht="13.5" thickBot="1" x14ac:dyDescent="0.25">
      <c r="A32" s="138" t="s">
        <v>169</v>
      </c>
      <c r="B32" s="140">
        <f>B31*(1+ESCALATION_FACTORS!B8)</f>
        <v>4890364.8864583336</v>
      </c>
      <c r="G32" s="111"/>
    </row>
  </sheetData>
  <sheetProtection algorithmName="SHA-512" hashValue="l6oEZiwfqmjN1FI0e0818+tcvPKeLJtip3RbgWNL3wPJ1ovgdXXCybzzj4LByRLRzTY4cuKRuyTkt8i76fusUA==" saltValue="5qgRRMrEeBnClyLCJhbIiQ==" spinCount="100000" sheet="1" objects="1" scenarios="1"/>
  <phoneticPr fontId="4" type="noConversion"/>
  <hyperlinks>
    <hyperlink ref="G4" r:id="rId1" xr:uid="{00000000-0004-0000-0900-000000000000}"/>
  </hyperlinks>
  <printOptions headings="1"/>
  <pageMargins left="0.7" right="0.7" top="0.75" bottom="0.75" header="0.3" footer="0.3"/>
  <pageSetup paperSize="9" scale="54" orientation="landscape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456C7A5B82A148801EF290BF8A088C" ma:contentTypeVersion="0" ma:contentTypeDescription="Create a new document." ma:contentTypeScope="" ma:versionID="94e7583eba77821fcba4f60c2da9cf3e">
  <xsd:schema xmlns:xsd="http://www.w3.org/2001/XMLSchema" xmlns:xs="http://www.w3.org/2001/XMLSchema" xmlns:p="http://schemas.microsoft.com/office/2006/metadata/properties" xmlns:ns2="a14523ce-dede-483e-883a-2d83261080bd" targetNamespace="http://schemas.microsoft.com/office/2006/metadata/properties" ma:root="true" ma:fieldsID="7609b2132cc27c2e027996f255529d92" ns2:_="">
    <xsd:import namespace="a14523ce-dede-483e-883a-2d83261080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523ce-dede-483e-883a-2d83261080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14523ce-dede-483e-883a-2d83261080bd">MARKETS-1263858229-4841</_dlc_DocId>
    <_dlc_DocIdUrl xmlns="a14523ce-dede-483e-883a-2d83261080bd">
      <Url>http://sharedocs/sites/markets/o/sc/_layouts/15/DocIdRedir.aspx?ID=MARKETS-1263858229-4841</Url>
      <Description>MARKETS-1263858229-4841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E030ED1-4D69-4E66-A8D1-41216DEE0870}"/>
</file>

<file path=customXml/itemProps2.xml><?xml version="1.0" encoding="utf-8"?>
<ds:datastoreItem xmlns:ds="http://schemas.openxmlformats.org/officeDocument/2006/customXml" ds:itemID="{4FA979AE-1882-4D2B-8D29-387D043673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4d0d699-67d0-4fa5-a1be-e9e758bd8702"/>
    <ds:schemaRef ds:uri="128ca797-da11-486e-9f6a-a75983b2d48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FBE504B-3382-4FF1-B186-22DC386EEF1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5B7B7C1-3835-4265-9483-9E52784628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README</vt:lpstr>
      <vt:lpstr>BRCP_Calculation</vt:lpstr>
      <vt:lpstr>ANNUALISED_CAP_COST</vt:lpstr>
      <vt:lpstr>ANNUALISED_FIXED_O&amp;M</vt:lpstr>
      <vt:lpstr>WACC</vt:lpstr>
      <vt:lpstr>PC</vt:lpstr>
      <vt:lpstr>M</vt:lpstr>
      <vt:lpstr>TC</vt:lpstr>
      <vt:lpstr>LC</vt:lpstr>
      <vt:lpstr>FFC</vt:lpstr>
      <vt:lpstr>ESCALATION_FACTORS</vt:lpstr>
      <vt:lpstr>'ANNUALISED_FIXED_O&amp;M'!Print_Area</vt:lpstr>
    </vt:vector>
  </TitlesOfParts>
  <Company>IMOWA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William Street</dc:creator>
  <cp:lastModifiedBy>Trevor Griffiths</cp:lastModifiedBy>
  <cp:lastPrinted>2018-09-21T02:22:15Z</cp:lastPrinted>
  <dcterms:created xsi:type="dcterms:W3CDTF">2008-08-08T07:52:00Z</dcterms:created>
  <dcterms:modified xsi:type="dcterms:W3CDTF">2019-11-27T02:53:20Z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A Classification">
    <vt:lpwstr/>
  </property>
  <property fmtid="{D5CDD505-2E9C-101B-9397-08002B2CF9AE}" pid="3" name="ContentTypeId">
    <vt:lpwstr>0x0101005A456C7A5B82A148801EF290BF8A088C</vt:lpwstr>
  </property>
  <property fmtid="{D5CDD505-2E9C-101B-9397-08002B2CF9AE}" pid="4" name="Order">
    <vt:r8>1306700</vt:r8>
  </property>
  <property fmtid="{D5CDD505-2E9C-101B-9397-08002B2CF9AE}" pid="5" name="Market">
    <vt:lpwstr>Electricity</vt:lpwstr>
  </property>
  <property fmtid="{D5CDD505-2E9C-101B-9397-08002B2CF9AE}" pid="6" name="xd_ProgID">
    <vt:lpwstr/>
  </property>
  <property fmtid="{D5CDD505-2E9C-101B-9397-08002B2CF9AE}" pid="7" name="TemplateUrl">
    <vt:lpwstr/>
  </property>
  <property fmtid="{D5CDD505-2E9C-101B-9397-08002B2CF9AE}" pid="8" name="Date modified">
    <vt:filetime>2017-01-04T03:31:00Z</vt:filetime>
  </property>
  <property fmtid="{D5CDD505-2E9C-101B-9397-08002B2CF9AE}" pid="9" name="_dlc_DocIdItemGuid">
    <vt:lpwstr>0ff64753-eaea-4d23-913b-7bb96d17fc64</vt:lpwstr>
  </property>
</Properties>
</file>